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ilberto Braga\Documents\Blog Caltrab\Restabelecendo as planilhas do blog\"/>
    </mc:Choice>
  </mc:AlternateContent>
  <xr:revisionPtr revIDLastSave="0" documentId="8_{856D835C-304C-4407-89DD-245B705952E3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controle ponto" sheetId="20" r:id="rId1"/>
    <sheet name="Feriados" sheetId="21" r:id="rId2"/>
  </sheets>
  <definedNames>
    <definedName name="ano_p">'controle ponto'!$E$2</definedName>
    <definedName name="_xlnm.Print_Area" localSheetId="0">'controle ponto'!$A$1:$O$41</definedName>
    <definedName name="calendário">'controle ponto'!$B$7:$C$38</definedName>
    <definedName name="dia_f">'controle ponto'!$I$3</definedName>
    <definedName name="fer" localSheetId="1">Feriados!$D$5:$F$19</definedName>
    <definedName name="fer">Feriados!$D$5:$F$19</definedName>
    <definedName name="fim">'controle ponto'!$D$129</definedName>
    <definedName name="FIMNOT">'controle ponto'!$M$3</definedName>
    <definedName name="inicio">'controle ponto'!$D$128</definedName>
    <definedName name="ININOT">'controle ponto'!$M$2</definedName>
    <definedName name="mês_p">'controle ponto'!$E$3</definedName>
    <definedName name="páscoa" localSheetId="1">Feriados!$C$2</definedName>
    <definedName name="tabela_feriados">Feriados!$A$1:$L$19</definedName>
    <definedName name="tabela_he">'controle ponto'!$B$7:$O$41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0" l="1"/>
  <c r="B41" i="20"/>
  <c r="J42" i="20" s="1"/>
  <c r="M42" i="20" l="1"/>
  <c r="F41" i="20"/>
  <c r="E41" i="20"/>
  <c r="F19" i="21" l="1"/>
  <c r="E19" i="21"/>
  <c r="D19" i="21"/>
  <c r="F18" i="21"/>
  <c r="E18" i="21"/>
  <c r="D18" i="21"/>
  <c r="X5" i="21"/>
  <c r="E3" i="21"/>
  <c r="E2" i="21"/>
  <c r="B2" i="21"/>
  <c r="D17" i="21" s="1"/>
  <c r="D129" i="20"/>
  <c r="D128" i="20"/>
  <c r="B8" i="20" s="1"/>
  <c r="D5" i="21" l="1"/>
  <c r="G6" i="21"/>
  <c r="F10" i="21"/>
  <c r="C2" i="21"/>
  <c r="E5" i="21"/>
  <c r="D6" i="21"/>
  <c r="D7" i="21"/>
  <c r="E8" i="21"/>
  <c r="F9" i="21"/>
  <c r="D11" i="21"/>
  <c r="E12" i="21"/>
  <c r="E16" i="21"/>
  <c r="F17" i="21"/>
  <c r="D8" i="21"/>
  <c r="D12" i="21"/>
  <c r="D16" i="21"/>
  <c r="E17" i="21"/>
  <c r="F5" i="21"/>
  <c r="E6" i="21"/>
  <c r="E7" i="21"/>
  <c r="F8" i="21"/>
  <c r="D10" i="21"/>
  <c r="E11" i="21"/>
  <c r="F12" i="21"/>
  <c r="F16" i="21"/>
  <c r="E9" i="21"/>
  <c r="G5" i="21"/>
  <c r="F6" i="21"/>
  <c r="F7" i="21"/>
  <c r="D9" i="21"/>
  <c r="E10" i="21"/>
  <c r="F11" i="21"/>
  <c r="I8" i="20"/>
  <c r="E14" i="21" l="1"/>
  <c r="E13" i="21"/>
  <c r="E15" i="21"/>
  <c r="D13" i="21"/>
  <c r="D14" i="21"/>
  <c r="D15" i="21"/>
  <c r="F15" i="21"/>
  <c r="F13" i="21"/>
  <c r="F14" i="21"/>
  <c r="J8" i="20"/>
  <c r="K8" i="20" s="1"/>
  <c r="B40" i="20"/>
  <c r="B9" i="20"/>
  <c r="D41" i="20" l="1"/>
  <c r="H41" i="20" s="1"/>
  <c r="I9" i="20"/>
  <c r="J9" i="20" s="1"/>
  <c r="K9" i="20" s="1"/>
  <c r="L8" i="20"/>
  <c r="M8" i="20" s="1"/>
  <c r="B10" i="20"/>
  <c r="I10" i="20" s="1"/>
  <c r="J10" i="20" l="1"/>
  <c r="K10" i="20" s="1"/>
  <c r="B11" i="20"/>
  <c r="I11" i="20" s="1"/>
  <c r="L9" i="20"/>
  <c r="H8" i="20"/>
  <c r="J11" i="20" l="1"/>
  <c r="K11" i="20" s="1"/>
  <c r="H9" i="20"/>
  <c r="L10" i="20"/>
  <c r="H10" i="20" s="1"/>
  <c r="B12" i="20"/>
  <c r="I12" i="20" s="1"/>
  <c r="J12" i="20" l="1"/>
  <c r="K12" i="20" s="1"/>
  <c r="L11" i="20"/>
  <c r="B13" i="20"/>
  <c r="I13" i="20" s="1"/>
  <c r="J13" i="20" l="1"/>
  <c r="K13" i="20" s="1"/>
  <c r="H11" i="20"/>
  <c r="L12" i="20"/>
  <c r="B14" i="20"/>
  <c r="I14" i="20" s="1"/>
  <c r="J14" i="20" l="1"/>
  <c r="K14" i="20" s="1"/>
  <c r="H12" i="20"/>
  <c r="B15" i="20"/>
  <c r="I15" i="20" s="1"/>
  <c r="L13" i="20"/>
  <c r="H13" i="20" s="1"/>
  <c r="J15" i="20" l="1"/>
  <c r="K15" i="20" s="1"/>
  <c r="L14" i="20"/>
  <c r="B16" i="20"/>
  <c r="I16" i="20" s="1"/>
  <c r="J16" i="20" l="1"/>
  <c r="K16" i="20" s="1"/>
  <c r="H14" i="20"/>
  <c r="L15" i="20"/>
  <c r="B17" i="20"/>
  <c r="I17" i="20" s="1"/>
  <c r="J17" i="20" l="1"/>
  <c r="K17" i="20" s="1"/>
  <c r="H15" i="20"/>
  <c r="L16" i="20"/>
  <c r="B18" i="20"/>
  <c r="I18" i="20" s="1"/>
  <c r="J18" i="20" l="1"/>
  <c r="K18" i="20" s="1"/>
  <c r="H16" i="20"/>
  <c r="B19" i="20"/>
  <c r="I19" i="20" s="1"/>
  <c r="L17" i="20"/>
  <c r="H17" i="20" s="1"/>
  <c r="J19" i="20" l="1"/>
  <c r="K19" i="20" s="1"/>
  <c r="L18" i="20"/>
  <c r="B20" i="20"/>
  <c r="I20" i="20" s="1"/>
  <c r="J20" i="20" l="1"/>
  <c r="K20" i="20" s="1"/>
  <c r="H18" i="20"/>
  <c r="L19" i="20"/>
  <c r="H19" i="20" s="1"/>
  <c r="B21" i="20"/>
  <c r="I21" i="20" s="1"/>
  <c r="J21" i="20" l="1"/>
  <c r="K21" i="20" s="1"/>
  <c r="L20" i="20"/>
  <c r="B22" i="20"/>
  <c r="I22" i="20" s="1"/>
  <c r="H20" i="20" l="1"/>
  <c r="B23" i="20"/>
  <c r="I23" i="20" s="1"/>
  <c r="L21" i="20"/>
  <c r="H21" i="20" s="1"/>
  <c r="J22" i="20" l="1"/>
  <c r="K22" i="20" s="1"/>
  <c r="B24" i="20"/>
  <c r="I24" i="20" s="1"/>
  <c r="L22" i="20" l="1"/>
  <c r="J23" i="20"/>
  <c r="K23" i="20" s="1"/>
  <c r="J24" i="20"/>
  <c r="K24" i="20" s="1"/>
  <c r="H22" i="20"/>
  <c r="B25" i="20"/>
  <c r="I25" i="20" s="1"/>
  <c r="L23" i="20" l="1"/>
  <c r="H23" i="20" s="1"/>
  <c r="L24" i="20"/>
  <c r="B26" i="20"/>
  <c r="I26" i="20" s="1"/>
  <c r="J25" i="20" l="1"/>
  <c r="K25" i="20" s="1"/>
  <c r="H24" i="20"/>
  <c r="L25" i="20"/>
  <c r="B27" i="20"/>
  <c r="I27" i="20" s="1"/>
  <c r="J26" i="20" l="1"/>
  <c r="K26" i="20" s="1"/>
  <c r="J27" i="20"/>
  <c r="H25" i="20"/>
  <c r="B28" i="20"/>
  <c r="I28" i="20" s="1"/>
  <c r="L26" i="20"/>
  <c r="K27" i="20" l="1"/>
  <c r="J28" i="20"/>
  <c r="K28" i="20" s="1"/>
  <c r="H26" i="20"/>
  <c r="L27" i="20"/>
  <c r="B29" i="20"/>
  <c r="I29" i="20" s="1"/>
  <c r="J29" i="20" l="1"/>
  <c r="K29" i="20" s="1"/>
  <c r="H27" i="20"/>
  <c r="L28" i="20"/>
  <c r="H28" i="20" s="1"/>
  <c r="B30" i="20"/>
  <c r="I30" i="20" s="1"/>
  <c r="J30" i="20" l="1"/>
  <c r="K30" i="20" s="1"/>
  <c r="L29" i="20"/>
  <c r="B31" i="20"/>
  <c r="I31" i="20" s="1"/>
  <c r="J31" i="20" l="1"/>
  <c r="K31" i="20" s="1"/>
  <c r="H29" i="20"/>
  <c r="B32" i="20"/>
  <c r="I32" i="20" s="1"/>
  <c r="L30" i="20"/>
  <c r="H30" i="20" s="1"/>
  <c r="J32" i="20" l="1"/>
  <c r="K32" i="20" s="1"/>
  <c r="L31" i="20"/>
  <c r="H31" i="20" s="1"/>
  <c r="B33" i="20"/>
  <c r="I33" i="20" s="1"/>
  <c r="J33" i="20" l="1"/>
  <c r="K33" i="20" s="1"/>
  <c r="L32" i="20"/>
  <c r="B34" i="20"/>
  <c r="I34" i="20" s="1"/>
  <c r="J34" i="20" l="1"/>
  <c r="K34" i="20" s="1"/>
  <c r="H32" i="20"/>
  <c r="L33" i="20"/>
  <c r="H33" i="20" s="1"/>
  <c r="B35" i="20"/>
  <c r="I35" i="20" l="1"/>
  <c r="J35" i="20" s="1"/>
  <c r="K35" i="20" s="1"/>
  <c r="B36" i="20"/>
  <c r="B37" i="20" s="1"/>
  <c r="B38" i="20" s="1"/>
  <c r="C40" i="20" s="1"/>
  <c r="F40" i="20" s="1"/>
  <c r="L34" i="20"/>
  <c r="H34" i="20" s="1"/>
  <c r="I36" i="20" l="1"/>
  <c r="J36" i="20" s="1"/>
  <c r="K36" i="20" s="1"/>
  <c r="L35" i="20"/>
  <c r="I37" i="20"/>
  <c r="J37" i="20" l="1"/>
  <c r="K37" i="20" s="1"/>
  <c r="H35" i="20"/>
  <c r="L36" i="20"/>
  <c r="H36" i="20" s="1"/>
  <c r="I38" i="20"/>
  <c r="J38" i="20" l="1"/>
  <c r="K38" i="20" s="1"/>
  <c r="L37" i="20"/>
  <c r="H37" i="20" l="1"/>
  <c r="K39" i="20"/>
  <c r="K40" i="20" s="1"/>
  <c r="L38" i="20"/>
  <c r="H38" i="20" l="1"/>
  <c r="L39" i="20"/>
  <c r="L40" i="20" s="1"/>
  <c r="C8" i="20" l="1"/>
  <c r="M38" i="20"/>
  <c r="M37" i="20"/>
  <c r="M36" i="20"/>
  <c r="M35" i="20"/>
  <c r="M34" i="20"/>
  <c r="M33" i="20"/>
  <c r="M32" i="20"/>
  <c r="M31" i="20"/>
  <c r="C30" i="20"/>
  <c r="M29" i="20"/>
  <c r="M28" i="20"/>
  <c r="C27" i="20"/>
  <c r="C26" i="20"/>
  <c r="C25" i="20"/>
  <c r="M24" i="20"/>
  <c r="M23" i="20"/>
  <c r="M22" i="20"/>
  <c r="C21" i="20"/>
  <c r="C20" i="20"/>
  <c r="M19" i="20"/>
  <c r="M18" i="20"/>
  <c r="C17" i="20"/>
  <c r="M16" i="20"/>
  <c r="M15" i="20"/>
  <c r="M14" i="20"/>
  <c r="C13" i="20"/>
  <c r="M12" i="20"/>
  <c r="C11" i="20"/>
  <c r="M10" i="20"/>
  <c r="C9" i="20"/>
  <c r="C38" i="20"/>
  <c r="C37" i="20"/>
  <c r="C36" i="20"/>
  <c r="C35" i="20"/>
  <c r="C34" i="20"/>
  <c r="C33" i="20"/>
  <c r="C32" i="20"/>
  <c r="C31" i="20"/>
  <c r="M30" i="20"/>
  <c r="C29" i="20"/>
  <c r="C28" i="20"/>
  <c r="M27" i="20"/>
  <c r="M26" i="20"/>
  <c r="M25" i="20"/>
  <c r="C24" i="20"/>
  <c r="C23" i="20"/>
  <c r="C22" i="20"/>
  <c r="M21" i="20"/>
  <c r="M20" i="20"/>
  <c r="C19" i="20"/>
  <c r="C18" i="20"/>
  <c r="M17" i="20"/>
  <c r="C16" i="20"/>
  <c r="C15" i="20"/>
  <c r="C14" i="20"/>
  <c r="M13" i="20"/>
  <c r="C12" i="20"/>
  <c r="M11" i="20"/>
  <c r="C10" i="20"/>
  <c r="M9" i="20"/>
  <c r="D40" i="20" l="1"/>
  <c r="O20" i="20"/>
  <c r="N20" i="20"/>
  <c r="O26" i="20"/>
  <c r="N26" i="20"/>
  <c r="O30" i="20"/>
  <c r="N30" i="20"/>
  <c r="O15" i="20"/>
  <c r="N15" i="20"/>
  <c r="O19" i="20"/>
  <c r="N19" i="20"/>
  <c r="O23" i="20"/>
  <c r="N23" i="20"/>
  <c r="N29" i="20"/>
  <c r="O29" i="20"/>
  <c r="O31" i="20"/>
  <c r="N31" i="20"/>
  <c r="N33" i="20"/>
  <c r="O33" i="20"/>
  <c r="O35" i="20"/>
  <c r="N35" i="20"/>
  <c r="N37" i="20"/>
  <c r="O37" i="20"/>
  <c r="N9" i="20"/>
  <c r="O9" i="20"/>
  <c r="O11" i="20"/>
  <c r="N11" i="20"/>
  <c r="N13" i="20"/>
  <c r="O13" i="20"/>
  <c r="O17" i="20"/>
  <c r="N17" i="20"/>
  <c r="O21" i="20"/>
  <c r="N21" i="20"/>
  <c r="O25" i="20"/>
  <c r="N25" i="20"/>
  <c r="O27" i="20"/>
  <c r="N27" i="20"/>
  <c r="O8" i="20"/>
  <c r="N8" i="20"/>
  <c r="O10" i="20"/>
  <c r="N10" i="20"/>
  <c r="N12" i="20"/>
  <c r="O12" i="20"/>
  <c r="O14" i="20"/>
  <c r="N14" i="20"/>
  <c r="N16" i="20"/>
  <c r="O16" i="20"/>
  <c r="O18" i="20"/>
  <c r="N18" i="20"/>
  <c r="O22" i="20"/>
  <c r="N22" i="20"/>
  <c r="N24" i="20"/>
  <c r="O24" i="20"/>
  <c r="O28" i="20"/>
  <c r="N28" i="20"/>
  <c r="O32" i="20"/>
  <c r="N32" i="20"/>
  <c r="O34" i="20"/>
  <c r="N34" i="20"/>
  <c r="O36" i="20"/>
  <c r="N36" i="20"/>
  <c r="O38" i="20"/>
  <c r="N38" i="20"/>
  <c r="N39" i="20" l="1"/>
  <c r="N40" i="20" s="1"/>
  <c r="O39" i="20"/>
  <c r="O40" i="20" s="1"/>
  <c r="E40" i="20"/>
  <c r="H40" i="20" l="1"/>
  <c r="G40" i="20" s="1"/>
  <c r="N41" i="20" l="1"/>
  <c r="O41" i="20"/>
  <c r="K41" i="20"/>
  <c r="I40" i="20"/>
  <c r="G41" i="20" l="1"/>
  <c r="O42" i="20" l="1"/>
  <c r="K42" i="20"/>
  <c r="N42" i="20"/>
  <c r="I4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</author>
  </authors>
  <commentList>
    <comment ref="E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Altere o ano aqui.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Aqui pode ser inserida outra jornada, por exemplo 7:20</t>
        </r>
      </text>
    </comment>
    <comment ref="M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Início do período noturno. Pode ser modificado no caso de trabalhador rural.</t>
        </r>
      </text>
    </comment>
    <comment ref="E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Aqui pode ser alterado o mês.</t>
        </r>
      </text>
    </comment>
    <comment ref="K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Aqui pode ser inserida outra jornada para os sábados, como, por exemplo, 7:20</t>
        </r>
      </text>
    </comment>
    <comment ref="M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Término do período noturno. Pode ser ampliado caso necessário (Súmula 60, TST)</t>
        </r>
      </text>
    </comment>
  </commentList>
</comments>
</file>

<file path=xl/sharedStrings.xml><?xml version="1.0" encoding="utf-8"?>
<sst xmlns="http://schemas.openxmlformats.org/spreadsheetml/2006/main" count="76" uniqueCount="57">
  <si>
    <t xml:space="preserve">Data </t>
  </si>
  <si>
    <t>Dia Semana</t>
  </si>
  <si>
    <t>Entrada</t>
  </si>
  <si>
    <t>Saída</t>
  </si>
  <si>
    <t>H. Trab.</t>
  </si>
  <si>
    <t>H. Normais</t>
  </si>
  <si>
    <t>H. Extras</t>
  </si>
  <si>
    <t>H. Normal</t>
  </si>
  <si>
    <t>Ano</t>
  </si>
  <si>
    <t>Sábados:</t>
  </si>
  <si>
    <t>Ano Novo</t>
  </si>
  <si>
    <t>Tiradentes</t>
  </si>
  <si>
    <t>Dia do Trabalho</t>
  </si>
  <si>
    <t>Independência</t>
  </si>
  <si>
    <t>Padroeira do Brasil</t>
  </si>
  <si>
    <t>Finados</t>
  </si>
  <si>
    <t>Proclamação da República</t>
  </si>
  <si>
    <t>Natal</t>
  </si>
  <si>
    <t>Terça-Feira de Carnaval</t>
  </si>
  <si>
    <t>Páscoa</t>
  </si>
  <si>
    <t>HE Dom e Fer</t>
  </si>
  <si>
    <t>Corpus Christi</t>
  </si>
  <si>
    <t>Feriados Nacionais</t>
  </si>
  <si>
    <t>x</t>
  </si>
  <si>
    <t>Sexta-Feira Santa</t>
  </si>
  <si>
    <t>Feriado 1</t>
  </si>
  <si>
    <t>Feriado 2</t>
  </si>
  <si>
    <t>Feriado 3</t>
  </si>
  <si>
    <t>Feriado 4</t>
  </si>
  <si>
    <t>Móveis</t>
  </si>
  <si>
    <t>Fixos</t>
  </si>
  <si>
    <t>DIA</t>
  </si>
  <si>
    <t>MÊS</t>
  </si>
  <si>
    <t>Feriados Nacionais, Municipais e Estadual</t>
  </si>
  <si>
    <t>Horas Diurnas</t>
  </si>
  <si>
    <t>Hora Ficta</t>
  </si>
  <si>
    <t>Horas Noturnas</t>
  </si>
  <si>
    <t>Horário Noturno</t>
  </si>
  <si>
    <t>Ano:</t>
  </si>
  <si>
    <t>Mês:</t>
  </si>
  <si>
    <t>fer</t>
  </si>
  <si>
    <t>dom</t>
  </si>
  <si>
    <t>mês</t>
  </si>
  <si>
    <t>dias úteis</t>
  </si>
  <si>
    <t>repousos</t>
  </si>
  <si>
    <t>Término</t>
  </si>
  <si>
    <t>Início</t>
  </si>
  <si>
    <t>Total:</t>
  </si>
  <si>
    <t>Decimal:</t>
  </si>
  <si>
    <t>Dsr:</t>
  </si>
  <si>
    <t>Início:</t>
  </si>
  <si>
    <t>Fim:</t>
  </si>
  <si>
    <t>H. Not. s/ red.</t>
  </si>
  <si>
    <t>dsr</t>
  </si>
  <si>
    <t>Informar a data de fechamento</t>
  </si>
  <si>
    <t>do ponto &gt;&gt;&gt;&gt;&gt;&gt;&gt;&gt;&gt;&gt;&gt;&gt;&gt;&gt;&gt;&gt;</t>
  </si>
  <si>
    <t>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</si>
</sst>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[hh]:m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b/>
      <sz val="10"/>
      <color indexed="62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6">
    <xf numFmtId="0" fontId="0" fillId="0" borderId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4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41">
    <xf numFmtId="0" fontId="0" fillId="0" borderId="0" xfId="0"/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quotePrefix="1" applyFont="1"/>
    <xf numFmtId="0" fontId="2" fillId="0" borderId="0" xfId="0" applyFont="1" applyAlignment="1">
      <alignment horizontal="right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14" fontId="4" fillId="0" borderId="0" xfId="0" quotePrefix="1" applyNumberFormat="1" applyFont="1" applyFill="1"/>
    <xf numFmtId="14" fontId="4" fillId="0" borderId="0" xfId="0" quotePrefix="1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11" fillId="8" borderId="1" xfId="2" applyFont="1" applyBorder="1" applyAlignment="1">
      <alignment horizontal="left" indent="1"/>
    </xf>
    <xf numFmtId="0" fontId="11" fillId="8" borderId="2" xfId="2" applyFont="1" applyBorder="1" applyAlignment="1">
      <alignment horizontal="left" indent="1"/>
    </xf>
    <xf numFmtId="14" fontId="11" fillId="8" borderId="2" xfId="2" applyNumberFormat="1" applyFont="1" applyBorder="1"/>
    <xf numFmtId="0" fontId="11" fillId="8" borderId="1" xfId="2" applyFont="1" applyBorder="1" applyAlignment="1">
      <alignment horizontal="center"/>
    </xf>
    <xf numFmtId="0" fontId="11" fillId="8" borderId="2" xfId="2" applyFont="1" applyBorder="1" applyAlignment="1">
      <alignment horizontal="center"/>
    </xf>
    <xf numFmtId="0" fontId="11" fillId="8" borderId="4" xfId="2" applyFont="1" applyBorder="1" applyAlignment="1">
      <alignment horizontal="center"/>
    </xf>
    <xf numFmtId="0" fontId="11" fillId="8" borderId="4" xfId="2" applyFont="1" applyBorder="1" applyAlignment="1">
      <alignment horizontal="left" indent="1"/>
    </xf>
    <xf numFmtId="14" fontId="11" fillId="8" borderId="4" xfId="2" applyNumberFormat="1" applyFont="1" applyBorder="1"/>
    <xf numFmtId="0" fontId="11" fillId="8" borderId="3" xfId="2" applyFont="1" applyBorder="1" applyAlignment="1">
      <alignment horizontal="center" vertical="center"/>
    </xf>
    <xf numFmtId="0" fontId="4" fillId="3" borderId="0" xfId="0" applyFont="1" applyFill="1" applyAlignment="1">
      <alignment horizontal="right" indent="1"/>
    </xf>
    <xf numFmtId="14" fontId="13" fillId="0" borderId="1" xfId="0" applyNumberFormat="1" applyFont="1" applyBorder="1"/>
    <xf numFmtId="164" fontId="13" fillId="0" borderId="1" xfId="0" applyNumberFormat="1" applyFont="1" applyBorder="1" applyAlignment="1">
      <alignment horizontal="right"/>
    </xf>
    <xf numFmtId="20" fontId="13" fillId="0" borderId="1" xfId="0" applyNumberFormat="1" applyFont="1" applyFill="1" applyBorder="1"/>
    <xf numFmtId="20" fontId="13" fillId="0" borderId="1" xfId="0" quotePrefix="1" applyNumberFormat="1" applyFont="1" applyBorder="1" applyAlignment="1">
      <alignment horizontal="center"/>
    </xf>
    <xf numFmtId="20" fontId="13" fillId="0" borderId="1" xfId="0" quotePrefix="1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/>
    </xf>
    <xf numFmtId="14" fontId="13" fillId="0" borderId="2" xfId="0" applyNumberFormat="1" applyFont="1" applyBorder="1"/>
    <xf numFmtId="164" fontId="13" fillId="0" borderId="2" xfId="0" applyNumberFormat="1" applyFont="1" applyBorder="1" applyAlignment="1">
      <alignment horizontal="right"/>
    </xf>
    <xf numFmtId="20" fontId="13" fillId="0" borderId="2" xfId="0" applyNumberFormat="1" applyFont="1" applyFill="1" applyBorder="1"/>
    <xf numFmtId="20" fontId="13" fillId="0" borderId="2" xfId="0" quotePrefix="1" applyNumberFormat="1" applyFont="1" applyBorder="1" applyAlignment="1">
      <alignment horizontal="center"/>
    </xf>
    <xf numFmtId="20" fontId="13" fillId="0" borderId="2" xfId="0" quotePrefix="1" applyNumberFormat="1" applyFont="1" applyBorder="1" applyAlignment="1">
      <alignment horizontal="center" vertical="center"/>
    </xf>
    <xf numFmtId="20" fontId="13" fillId="0" borderId="2" xfId="0" applyNumberFormat="1" applyFont="1" applyBorder="1" applyAlignment="1">
      <alignment horizontal="center"/>
    </xf>
    <xf numFmtId="14" fontId="13" fillId="0" borderId="2" xfId="0" applyNumberFormat="1" applyFont="1" applyFill="1" applyBorder="1"/>
    <xf numFmtId="14" fontId="13" fillId="0" borderId="4" xfId="0" applyNumberFormat="1" applyFont="1" applyFill="1" applyBorder="1"/>
    <xf numFmtId="164" fontId="13" fillId="0" borderId="4" xfId="0" applyNumberFormat="1" applyFont="1" applyBorder="1" applyAlignment="1">
      <alignment horizontal="right"/>
    </xf>
    <xf numFmtId="20" fontId="13" fillId="0" borderId="4" xfId="0" applyNumberFormat="1" applyFont="1" applyFill="1" applyBorder="1"/>
    <xf numFmtId="20" fontId="13" fillId="0" borderId="4" xfId="0" quotePrefix="1" applyNumberFormat="1" applyFont="1" applyBorder="1" applyAlignment="1">
      <alignment horizontal="center"/>
    </xf>
    <xf numFmtId="20" fontId="13" fillId="0" borderId="4" xfId="0" quotePrefix="1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20" fontId="14" fillId="2" borderId="0" xfId="0" applyNumberFormat="1" applyFont="1" applyFill="1" applyProtection="1">
      <protection locked="0"/>
    </xf>
    <xf numFmtId="20" fontId="13" fillId="9" borderId="1" xfId="0" applyNumberFormat="1" applyFont="1" applyFill="1" applyBorder="1" applyProtection="1">
      <protection locked="0"/>
    </xf>
    <xf numFmtId="165" fontId="13" fillId="9" borderId="1" xfId="0" applyNumberFormat="1" applyFont="1" applyFill="1" applyBorder="1" applyProtection="1">
      <protection locked="0"/>
    </xf>
    <xf numFmtId="20" fontId="13" fillId="9" borderId="2" xfId="0" applyNumberFormat="1" applyFont="1" applyFill="1" applyBorder="1" applyProtection="1">
      <protection locked="0"/>
    </xf>
    <xf numFmtId="165" fontId="13" fillId="9" borderId="2" xfId="0" applyNumberFormat="1" applyFont="1" applyFill="1" applyBorder="1" applyProtection="1">
      <protection locked="0"/>
    </xf>
    <xf numFmtId="20" fontId="13" fillId="9" borderId="4" xfId="0" applyNumberFormat="1" applyFont="1" applyFill="1" applyBorder="1" applyProtection="1">
      <protection locked="0"/>
    </xf>
    <xf numFmtId="165" fontId="13" fillId="9" borderId="4" xfId="0" applyNumberFormat="1" applyFont="1" applyFill="1" applyBorder="1" applyProtection="1">
      <protection locked="0"/>
    </xf>
    <xf numFmtId="0" fontId="15" fillId="11" borderId="1" xfId="2" applyFont="1" applyFill="1" applyBorder="1" applyAlignment="1">
      <alignment horizontal="right" vertical="center" indent="1"/>
    </xf>
    <xf numFmtId="0" fontId="14" fillId="10" borderId="10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right"/>
    </xf>
    <xf numFmtId="165" fontId="16" fillId="0" borderId="10" xfId="0" applyNumberFormat="1" applyFont="1" applyBorder="1"/>
    <xf numFmtId="0" fontId="14" fillId="10" borderId="10" xfId="0" applyFont="1" applyFill="1" applyBorder="1" applyAlignment="1">
      <alignment horizontal="right"/>
    </xf>
    <xf numFmtId="14" fontId="14" fillId="9" borderId="3" xfId="0" applyNumberFormat="1" applyFont="1" applyFill="1" applyBorder="1"/>
    <xf numFmtId="0" fontId="14" fillId="0" borderId="3" xfId="0" quotePrefix="1" applyFont="1" applyBorder="1"/>
    <xf numFmtId="0" fontId="14" fillId="0" borderId="3" xfId="0" applyFont="1" applyBorder="1"/>
    <xf numFmtId="2" fontId="16" fillId="0" borderId="3" xfId="0" applyNumberFormat="1" applyFont="1" applyBorder="1"/>
    <xf numFmtId="0" fontId="14" fillId="10" borderId="3" xfId="0" applyFont="1" applyFill="1" applyBorder="1" applyAlignment="1">
      <alignment horizontal="right"/>
    </xf>
    <xf numFmtId="0" fontId="14" fillId="10" borderId="7" xfId="0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9" fillId="0" borderId="0" xfId="0" quotePrefix="1" applyFont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right" indent="1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4" fontId="14" fillId="0" borderId="0" xfId="0" applyNumberFormat="1" applyFont="1"/>
    <xf numFmtId="0" fontId="4" fillId="0" borderId="0" xfId="3"/>
    <xf numFmtId="0" fontId="8" fillId="6" borderId="14" xfId="4" applyFont="1" applyBorder="1" applyAlignment="1">
      <alignment horizontal="centerContinuous"/>
    </xf>
    <xf numFmtId="0" fontId="8" fillId="6" borderId="13" xfId="4" applyFont="1" applyBorder="1"/>
    <xf numFmtId="14" fontId="8" fillId="6" borderId="4" xfId="4" quotePrefix="1" applyNumberFormat="1" applyFont="1" applyBorder="1" applyAlignment="1">
      <alignment horizontal="right" indent="1"/>
    </xf>
    <xf numFmtId="0" fontId="10" fillId="12" borderId="2" xfId="3" applyFont="1" applyFill="1" applyBorder="1" applyAlignment="1">
      <alignment horizontal="right" vertical="center" indent="1"/>
    </xf>
    <xf numFmtId="20" fontId="10" fillId="12" borderId="2" xfId="3" applyNumberFormat="1" applyFont="1" applyFill="1" applyBorder="1" applyAlignment="1">
      <alignment horizontal="right" vertical="center" indent="1"/>
    </xf>
    <xf numFmtId="0" fontId="4" fillId="12" borderId="17" xfId="3" applyFill="1" applyBorder="1"/>
    <xf numFmtId="0" fontId="4" fillId="12" borderId="18" xfId="3" applyFill="1" applyBorder="1"/>
    <xf numFmtId="0" fontId="4" fillId="12" borderId="16" xfId="3" applyFill="1" applyBorder="1"/>
    <xf numFmtId="0" fontId="10" fillId="12" borderId="4" xfId="3" applyFont="1" applyFill="1" applyBorder="1" applyAlignment="1">
      <alignment horizontal="right" vertical="center" indent="1"/>
    </xf>
    <xf numFmtId="20" fontId="10" fillId="12" borderId="4" xfId="3" applyNumberFormat="1" applyFont="1" applyFill="1" applyBorder="1" applyAlignment="1">
      <alignment horizontal="right" vertical="center" indent="1"/>
    </xf>
    <xf numFmtId="0" fontId="4" fillId="0" borderId="0" xfId="3" applyBorder="1" applyAlignment="1">
      <alignment vertical="center"/>
    </xf>
    <xf numFmtId="14" fontId="11" fillId="8" borderId="1" xfId="2" quotePrefix="1" applyNumberFormat="1" applyFont="1" applyBorder="1"/>
    <xf numFmtId="14" fontId="12" fillId="0" borderId="0" xfId="3" applyNumberFormat="1" applyFont="1" applyBorder="1" applyAlignment="1">
      <alignment horizontal="left" indent="1"/>
    </xf>
    <xf numFmtId="0" fontId="12" fillId="0" borderId="0" xfId="3" applyFont="1"/>
    <xf numFmtId="14" fontId="12" fillId="0" borderId="0" xfId="3" applyNumberFormat="1" applyFont="1"/>
    <xf numFmtId="14" fontId="11" fillId="8" borderId="2" xfId="2" quotePrefix="1" applyNumberFormat="1" applyFont="1" applyBorder="1"/>
    <xf numFmtId="0" fontId="4" fillId="0" borderId="0" xfId="3" applyBorder="1" applyAlignment="1">
      <alignment horizontal="left" indent="1"/>
    </xf>
    <xf numFmtId="14" fontId="11" fillId="8" borderId="4" xfId="2" quotePrefix="1" applyNumberFormat="1" applyFont="1" applyBorder="1"/>
    <xf numFmtId="0" fontId="1" fillId="7" borderId="1" xfId="5" applyBorder="1" applyAlignment="1">
      <alignment horizontal="center"/>
    </xf>
    <xf numFmtId="0" fontId="1" fillId="7" borderId="1" xfId="5" applyBorder="1" applyAlignment="1">
      <alignment horizontal="left" indent="1"/>
    </xf>
    <xf numFmtId="14" fontId="1" fillId="7" borderId="1" xfId="5" quotePrefix="1" applyNumberFormat="1" applyFont="1" applyBorder="1"/>
    <xf numFmtId="0" fontId="4" fillId="0" borderId="0" xfId="3" applyFill="1" applyBorder="1" applyAlignment="1">
      <alignment horizontal="left" indent="1"/>
    </xf>
    <xf numFmtId="0" fontId="1" fillId="7" borderId="2" xfId="5" applyBorder="1" applyAlignment="1">
      <alignment horizontal="center" vertical="center"/>
    </xf>
    <xf numFmtId="0" fontId="1" fillId="7" borderId="2" xfId="5" applyBorder="1" applyAlignment="1">
      <alignment horizontal="left" indent="1"/>
    </xf>
    <xf numFmtId="14" fontId="1" fillId="7" borderId="2" xfId="5" quotePrefix="1" applyNumberFormat="1" applyFont="1" applyBorder="1"/>
    <xf numFmtId="0" fontId="1" fillId="7" borderId="4" xfId="5" applyBorder="1" applyAlignment="1">
      <alignment horizontal="center"/>
    </xf>
    <xf numFmtId="0" fontId="1" fillId="7" borderId="4" xfId="5" applyBorder="1" applyAlignment="1">
      <alignment horizontal="left" indent="1"/>
    </xf>
    <xf numFmtId="14" fontId="1" fillId="7" borderId="4" xfId="5" quotePrefix="1" applyNumberFormat="1" applyFont="1" applyBorder="1"/>
    <xf numFmtId="0" fontId="11" fillId="8" borderId="7" xfId="2" applyFont="1" applyBorder="1" applyAlignment="1">
      <alignment horizontal="center" vertical="center"/>
    </xf>
    <xf numFmtId="0" fontId="1" fillId="6" borderId="11" xfId="4" applyBorder="1" applyAlignment="1">
      <alignment horizontal="center"/>
    </xf>
    <xf numFmtId="0" fontId="1" fillId="6" borderId="11" xfId="4" applyBorder="1" applyAlignment="1">
      <alignment horizontal="left" indent="1"/>
    </xf>
    <xf numFmtId="14" fontId="1" fillId="6" borderId="11" xfId="4" quotePrefix="1" applyNumberFormat="1" applyFont="1" applyBorder="1"/>
    <xf numFmtId="0" fontId="1" fillId="6" borderId="8" xfId="4" applyBorder="1" applyAlignment="1">
      <alignment horizontal="center"/>
    </xf>
    <xf numFmtId="0" fontId="1" fillId="6" borderId="2" xfId="4" applyBorder="1" applyAlignment="1">
      <alignment horizontal="center"/>
    </xf>
    <xf numFmtId="0" fontId="1" fillId="6" borderId="2" xfId="4" applyBorder="1" applyAlignment="1">
      <alignment horizontal="left" indent="1"/>
    </xf>
    <xf numFmtId="14" fontId="1" fillId="6" borderId="2" xfId="4" quotePrefix="1" applyNumberFormat="1" applyFont="1" applyBorder="1"/>
    <xf numFmtId="0" fontId="1" fillId="6" borderId="9" xfId="4" applyBorder="1" applyAlignment="1">
      <alignment horizontal="center"/>
    </xf>
    <xf numFmtId="0" fontId="1" fillId="6" borderId="2" xfId="4" applyFont="1" applyBorder="1" applyAlignment="1">
      <alignment horizontal="center"/>
    </xf>
    <xf numFmtId="0" fontId="1" fillId="6" borderId="12" xfId="4" applyFont="1" applyBorder="1" applyAlignment="1">
      <alignment horizontal="center" vertical="center"/>
    </xf>
    <xf numFmtId="0" fontId="1" fillId="6" borderId="4" xfId="4" applyBorder="1" applyAlignment="1">
      <alignment horizontal="left" indent="1"/>
    </xf>
    <xf numFmtId="14" fontId="1" fillId="6" borderId="13" xfId="4" quotePrefix="1" applyNumberFormat="1" applyFont="1" applyBorder="1"/>
    <xf numFmtId="14" fontId="1" fillId="6" borderId="10" xfId="4" quotePrefix="1" applyNumberFormat="1" applyFont="1" applyBorder="1"/>
    <xf numFmtId="0" fontId="1" fillId="6" borderId="10" xfId="4" applyBorder="1" applyAlignment="1">
      <alignment horizontal="center"/>
    </xf>
    <xf numFmtId="0" fontId="4" fillId="0" borderId="15" xfId="3" applyFill="1" applyBorder="1" applyAlignment="1">
      <alignment horizontal="center"/>
    </xf>
    <xf numFmtId="0" fontId="4" fillId="0" borderId="0" xfId="3" applyFill="1" applyBorder="1" applyAlignment="1">
      <alignment horizontal="center"/>
    </xf>
    <xf numFmtId="0" fontId="14" fillId="0" borderId="0" xfId="0" applyFont="1" applyAlignment="1">
      <alignment horizontal="right"/>
    </xf>
    <xf numFmtId="2" fontId="16" fillId="0" borderId="15" xfId="0" applyNumberFormat="1" applyFont="1" applyBorder="1"/>
    <xf numFmtId="2" fontId="16" fillId="0" borderId="0" xfId="0" applyNumberFormat="1" applyFont="1" applyBorder="1"/>
    <xf numFmtId="14" fontId="14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0" fontId="0" fillId="0" borderId="20" xfId="0" applyBorder="1"/>
    <xf numFmtId="0" fontId="21" fillId="0" borderId="2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8" fillId="6" borderId="10" xfId="4" applyFont="1" applyBorder="1" applyAlignment="1">
      <alignment horizontal="center" vertical="center" textRotation="90"/>
    </xf>
    <xf numFmtId="0" fontId="8" fillId="6" borderId="3" xfId="4" applyFont="1" applyBorder="1" applyAlignment="1">
      <alignment horizontal="center" vertical="center" textRotation="90"/>
    </xf>
    <xf numFmtId="0" fontId="15" fillId="5" borderId="1" xfId="1" applyFont="1" applyBorder="1" applyAlignment="1">
      <alignment horizontal="center" vertical="center"/>
    </xf>
    <xf numFmtId="0" fontId="9" fillId="5" borderId="5" xfId="1" applyBorder="1" applyAlignment="1">
      <alignment horizontal="center" vertical="center"/>
    </xf>
    <xf numFmtId="0" fontId="9" fillId="5" borderId="0" xfId="1" applyBorder="1" applyAlignment="1">
      <alignment horizontal="center" vertical="center"/>
    </xf>
    <xf numFmtId="0" fontId="10" fillId="8" borderId="1" xfId="2" applyFont="1" applyBorder="1" applyAlignment="1">
      <alignment horizontal="center" vertical="center" textRotation="90"/>
    </xf>
    <xf numFmtId="0" fontId="10" fillId="8" borderId="2" xfId="2" applyFont="1" applyBorder="1" applyAlignment="1">
      <alignment horizontal="center" vertical="center" textRotation="90"/>
    </xf>
    <xf numFmtId="0" fontId="10" fillId="8" borderId="4" xfId="2" applyFont="1" applyBorder="1" applyAlignment="1">
      <alignment horizontal="center" vertical="center" textRotation="90"/>
    </xf>
    <xf numFmtId="0" fontId="10" fillId="7" borderId="1" xfId="5" applyFont="1" applyBorder="1" applyAlignment="1">
      <alignment horizontal="center" vertical="center" textRotation="90"/>
    </xf>
    <xf numFmtId="0" fontId="10" fillId="7" borderId="2" xfId="5" applyFont="1" applyBorder="1" applyAlignment="1">
      <alignment horizontal="center" vertical="center" textRotation="90"/>
    </xf>
    <xf numFmtId="0" fontId="10" fillId="7" borderId="4" xfId="5" applyFont="1" applyBorder="1" applyAlignment="1">
      <alignment horizontal="center" vertical="center" textRotation="90"/>
    </xf>
  </cellXfs>
  <cellStyles count="6">
    <cellStyle name="20% - Ênfase5 2" xfId="4" xr:uid="{00000000-0005-0000-0000-000000000000}"/>
    <cellStyle name="40% - Ênfase5 2" xfId="5" xr:uid="{00000000-0005-0000-0000-000001000000}"/>
    <cellStyle name="60% - Ênfase5" xfId="2" builtinId="48"/>
    <cellStyle name="Ênfase5" xfId="1" builtinId="45"/>
    <cellStyle name="Normal" xfId="0" builtinId="0"/>
    <cellStyle name="Normal 2" xfId="3" xr:uid="{00000000-0005-0000-0000-000005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/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5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561977</xdr:colOff>
      <xdr:row>5</xdr:row>
      <xdr:rowOff>76203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433387" y="-433386"/>
          <a:ext cx="885827" cy="17526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419964</xdr:colOff>
      <xdr:row>3</xdr:row>
      <xdr:rowOff>123825</xdr:rowOff>
    </xdr:to>
    <xdr:pic>
      <xdr:nvPicPr>
        <xdr:cNvPr id="3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610589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11</xdr:col>
      <xdr:colOff>133350</xdr:colOff>
      <xdr:row>10</xdr:row>
      <xdr:rowOff>123825</xdr:rowOff>
    </xdr:to>
    <xdr:sp macro="" textlink="">
      <xdr:nvSpPr>
        <xdr:cNvPr id="2" name="Texto explicativo retangul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29175" y="742950"/>
          <a:ext cx="3390900" cy="1685925"/>
        </a:xfrm>
        <a:prstGeom prst="wedgeRectCallout">
          <a:avLst>
            <a:gd name="adj1" fmla="val -24326"/>
            <a:gd name="adj2" fmla="val 873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Para que</a:t>
          </a:r>
          <a:r>
            <a:rPr lang="pt-BR" sz="1100" baseline="0"/>
            <a:t> a planilha não considere o feriado, basta deletar o "X"  na célula correspondente da coluna B.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Quanto aos feriados fixos municipais e estadual, digite x na coluna B , informe o dia na coluna E e o mês na coluna F. Caso o "x" não esteja marcado, os valores selecionados em E16, E17, E18, E19, F16, F17, F18 e F19 não irão interferir no cálculo dos feriados.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W129"/>
  <sheetViews>
    <sheetView showGridLines="0" tabSelected="1" zoomScaleNormal="100" workbookViewId="0">
      <selection activeCell="I33" sqref="I33"/>
    </sheetView>
  </sheetViews>
  <sheetFormatPr defaultColWidth="0" defaultRowHeight="12.75" zeroHeight="1" x14ac:dyDescent="0.2"/>
  <cols>
    <col min="1" max="1" width="5.7109375" customWidth="1"/>
    <col min="2" max="2" width="12.140625" customWidth="1"/>
    <col min="3" max="3" width="13.85546875" customWidth="1"/>
    <col min="4" max="4" width="10.42578125" bestFit="1" customWidth="1"/>
    <col min="5" max="7" width="9.42578125" bestFit="1" customWidth="1"/>
    <col min="8" max="11" width="9.42578125" customWidth="1"/>
    <col min="12" max="14" width="11.28515625" customWidth="1"/>
    <col min="15" max="15" width="9.140625" customWidth="1"/>
    <col min="16" max="16" width="6.7109375" customWidth="1"/>
    <col min="17" max="19" width="6.7109375" hidden="1" customWidth="1"/>
    <col min="20" max="20" width="10.140625" hidden="1" customWidth="1"/>
    <col min="21" max="21" width="0" hidden="1" customWidth="1"/>
    <col min="22" max="22" width="12" hidden="1" customWidth="1"/>
    <col min="23" max="23" width="26.85546875" hidden="1" customWidth="1"/>
    <col min="24" max="16384" width="9.140625" hidden="1"/>
  </cols>
  <sheetData>
    <row r="1" spans="1:23" x14ac:dyDescent="0.2"/>
    <row r="2" spans="1:23" ht="12.75" customHeight="1" thickBot="1" x14ac:dyDescent="0.25">
      <c r="B2" s="21"/>
      <c r="D2" s="65" t="s">
        <v>38</v>
      </c>
      <c r="E2" s="41">
        <v>2017</v>
      </c>
      <c r="F2" s="127" t="s">
        <v>54</v>
      </c>
      <c r="G2" s="127"/>
      <c r="H2" s="128"/>
      <c r="I2" s="121"/>
      <c r="J2" s="64" t="s">
        <v>7</v>
      </c>
      <c r="K2" s="42">
        <v>0.33333333333333331</v>
      </c>
      <c r="L2" s="123" t="s">
        <v>37</v>
      </c>
      <c r="M2" s="42">
        <v>0.91666666666666663</v>
      </c>
    </row>
    <row r="3" spans="1:23" ht="13.5" customHeight="1" thickBot="1" x14ac:dyDescent="0.25">
      <c r="B3" s="21"/>
      <c r="D3" s="65" t="s">
        <v>39</v>
      </c>
      <c r="E3" s="41">
        <v>1</v>
      </c>
      <c r="F3" s="127" t="s">
        <v>55</v>
      </c>
      <c r="G3" s="127"/>
      <c r="H3" s="129"/>
      <c r="I3" s="122">
        <v>20</v>
      </c>
      <c r="J3" s="64" t="s">
        <v>9</v>
      </c>
      <c r="K3" s="42">
        <v>0.16666666666666666</v>
      </c>
      <c r="L3" s="124"/>
      <c r="M3" s="42">
        <v>0.20833333333333334</v>
      </c>
    </row>
    <row r="4" spans="1:23" ht="12.75" customHeight="1" x14ac:dyDescent="0.2">
      <c r="I4" s="62"/>
    </row>
    <row r="5" spans="1:23" ht="13.5" customHeight="1" x14ac:dyDescent="0.2">
      <c r="D5" s="61"/>
      <c r="I5" s="62"/>
    </row>
    <row r="6" spans="1:23" x14ac:dyDescent="0.2"/>
    <row r="7" spans="1:23" ht="25.5" x14ac:dyDescent="0.2">
      <c r="B7" s="66" t="s">
        <v>0</v>
      </c>
      <c r="C7" s="66" t="s">
        <v>1</v>
      </c>
      <c r="D7" s="66" t="s">
        <v>2</v>
      </c>
      <c r="E7" s="66" t="s">
        <v>3</v>
      </c>
      <c r="F7" s="66" t="s">
        <v>2</v>
      </c>
      <c r="G7" s="66" t="s">
        <v>3</v>
      </c>
      <c r="H7" s="66" t="s">
        <v>34</v>
      </c>
      <c r="I7" s="66" t="s">
        <v>52</v>
      </c>
      <c r="J7" s="66" t="s">
        <v>35</v>
      </c>
      <c r="K7" s="66" t="s">
        <v>36</v>
      </c>
      <c r="L7" s="66" t="s">
        <v>4</v>
      </c>
      <c r="M7" s="66" t="s">
        <v>5</v>
      </c>
      <c r="N7" s="66" t="s">
        <v>6</v>
      </c>
      <c r="O7" s="66" t="s">
        <v>20</v>
      </c>
      <c r="P7" s="6"/>
      <c r="Q7" s="7"/>
      <c r="R7" s="7"/>
      <c r="S7" s="7"/>
      <c r="T7" s="3"/>
      <c r="V7" s="125"/>
      <c r="W7" s="126"/>
    </row>
    <row r="8" spans="1:23" ht="15" customHeight="1" x14ac:dyDescent="0.2">
      <c r="B8" s="22">
        <f>inicio</f>
        <v>42725</v>
      </c>
      <c r="C8" s="23">
        <f>IF(B8="","",IF(COUNTIF(fer,B8)&gt;0,"feriado",B8))</f>
        <v>42725</v>
      </c>
      <c r="D8" s="43">
        <v>0.625</v>
      </c>
      <c r="E8" s="44">
        <v>0.79166666666666663</v>
      </c>
      <c r="F8" s="43"/>
      <c r="G8" s="44"/>
      <c r="H8" s="24">
        <f t="shared" ref="H8:H38" si="0">IF(B8="","",L8-K8)</f>
        <v>0.16666666666666663</v>
      </c>
      <c r="I8" s="24">
        <f t="shared" ref="I8:I38" si="1">IF(B8="","",IF(COUNTA(D8:G8)=0,0,MAX(ININOT,MIN(FIMNOT+1,E8+(D8&gt;E8)))-MAX(ININOT,D8)+(MIN(FIMNOT,E8+(D8&gt;E8))-MIN(FIMNOT,D8))+(F8&lt;&gt;"")*(MAX(ININOT,MIN(FIMNOT+1,G8+(F8&gt;G8)))-MAX(ININOT,F8)+(MIN(FIMNOT,G8+(F8&gt;G8))-MIN(FIMNOT,F8)))))</f>
        <v>0</v>
      </c>
      <c r="J8" s="24">
        <f>IF(B8="","",(I8/7*8)-I8)</f>
        <v>0</v>
      </c>
      <c r="K8" s="24">
        <f>IF(B8="","",I8+J8)</f>
        <v>0</v>
      </c>
      <c r="L8" s="25">
        <f t="shared" ref="L8:L38" si="2">IF(B8="","",MOD((E8-D8)+(G8-F8),1)+J8)</f>
        <v>0.16666666666666663</v>
      </c>
      <c r="M8" s="26">
        <f t="shared" ref="M8:M38" si="3">IF(B8="","",IF(OR(COUNTIF(fer,B8)&gt;0,WEEKDAY(B8)=1),0,IF(WEEKDAY(B8)=7,MIN($K$3,L8),MIN($K$2,L8))))</f>
        <v>0.16666666666666663</v>
      </c>
      <c r="N8" s="25">
        <f t="shared" ref="N8:N38" si="4">IF(B8="","",IF(M8=0,0,IF(WEEKDAY(B8)=7,MAX(0,L8-$K$3),MAX(0,L8-$K$2))))</f>
        <v>0</v>
      </c>
      <c r="O8" s="27">
        <f t="shared" ref="O8:O38" si="5">IF(B8="","",IF(M8=0,L8,0))</f>
        <v>0</v>
      </c>
      <c r="T8" s="9"/>
      <c r="V8" s="10"/>
      <c r="W8" s="8"/>
    </row>
    <row r="9" spans="1:23" ht="15" customHeight="1" x14ac:dyDescent="0.2">
      <c r="B9" s="28">
        <f>B8+1</f>
        <v>42726</v>
      </c>
      <c r="C9" s="29">
        <f t="shared" ref="C9:C38" si="6">IF(B9="","",IF(COUNTIF(fer,B9)&gt;0,"feriado",B9))</f>
        <v>42726</v>
      </c>
      <c r="D9" s="45"/>
      <c r="E9" s="46"/>
      <c r="F9" s="45"/>
      <c r="G9" s="46"/>
      <c r="H9" s="30">
        <f t="shared" si="0"/>
        <v>0</v>
      </c>
      <c r="I9" s="30">
        <f t="shared" si="1"/>
        <v>0</v>
      </c>
      <c r="J9" s="30">
        <f t="shared" ref="J9:J38" si="7">IF(B9="","",(I9/7*8)-I9)</f>
        <v>0</v>
      </c>
      <c r="K9" s="30">
        <f t="shared" ref="K9:K38" si="8">IF(B9="","",I9+J9)</f>
        <v>0</v>
      </c>
      <c r="L9" s="31">
        <f t="shared" si="2"/>
        <v>0</v>
      </c>
      <c r="M9" s="32">
        <f t="shared" si="3"/>
        <v>0</v>
      </c>
      <c r="N9" s="31">
        <f t="shared" si="4"/>
        <v>0</v>
      </c>
      <c r="O9" s="33">
        <f t="shared" si="5"/>
        <v>0</v>
      </c>
      <c r="V9" s="10"/>
      <c r="W9" s="8"/>
    </row>
    <row r="10" spans="1:23" ht="15" customHeight="1" x14ac:dyDescent="0.2">
      <c r="B10" s="28">
        <f>B9+1</f>
        <v>42727</v>
      </c>
      <c r="C10" s="29">
        <f t="shared" si="6"/>
        <v>42727</v>
      </c>
      <c r="D10" s="45">
        <v>0.625</v>
      </c>
      <c r="E10" s="46">
        <v>0.79166666666666663</v>
      </c>
      <c r="F10" s="45">
        <v>0.83333333333333337</v>
      </c>
      <c r="G10" s="46">
        <v>5.2083333333333336E-2</v>
      </c>
      <c r="H10" s="30">
        <f t="shared" si="0"/>
        <v>0.25</v>
      </c>
      <c r="I10" s="30">
        <f t="shared" si="1"/>
        <v>0.13541666666666663</v>
      </c>
      <c r="J10" s="30">
        <f t="shared" si="7"/>
        <v>1.9345238095238082E-2</v>
      </c>
      <c r="K10" s="30">
        <f t="shared" si="8"/>
        <v>0.15476190476190471</v>
      </c>
      <c r="L10" s="31">
        <f t="shared" si="2"/>
        <v>0.40476190476190471</v>
      </c>
      <c r="M10" s="32">
        <f t="shared" si="3"/>
        <v>0.33333333333333331</v>
      </c>
      <c r="N10" s="31">
        <f t="shared" si="4"/>
        <v>7.1428571428571397E-2</v>
      </c>
      <c r="O10" s="33">
        <f t="shared" si="5"/>
        <v>0</v>
      </c>
      <c r="V10" s="10"/>
      <c r="W10" s="8"/>
    </row>
    <row r="11" spans="1:23" ht="15" customHeight="1" x14ac:dyDescent="0.2">
      <c r="B11" s="28">
        <f>B10+1</f>
        <v>42728</v>
      </c>
      <c r="C11" s="29">
        <f t="shared" si="6"/>
        <v>42728</v>
      </c>
      <c r="D11" s="45">
        <v>0.625</v>
      </c>
      <c r="E11" s="46">
        <v>0.79166666666666663</v>
      </c>
      <c r="F11" s="45">
        <v>0.83333333333333337</v>
      </c>
      <c r="G11" s="46">
        <v>8.3333333333333329E-2</v>
      </c>
      <c r="H11" s="30">
        <f t="shared" si="0"/>
        <v>0.25</v>
      </c>
      <c r="I11" s="30">
        <f t="shared" si="1"/>
        <v>0.16666666666666663</v>
      </c>
      <c r="J11" s="30">
        <f t="shared" si="7"/>
        <v>2.3809523809523808E-2</v>
      </c>
      <c r="K11" s="30">
        <f t="shared" si="8"/>
        <v>0.19047619047619044</v>
      </c>
      <c r="L11" s="31">
        <f t="shared" si="2"/>
        <v>0.44047619047619047</v>
      </c>
      <c r="M11" s="32">
        <f t="shared" si="3"/>
        <v>0.16666666666666666</v>
      </c>
      <c r="N11" s="31">
        <f t="shared" si="4"/>
        <v>0.27380952380952384</v>
      </c>
      <c r="O11" s="33">
        <f t="shared" si="5"/>
        <v>0</v>
      </c>
      <c r="V11" s="10"/>
      <c r="W11" s="8"/>
    </row>
    <row r="12" spans="1:23" ht="15" customHeight="1" x14ac:dyDescent="0.2">
      <c r="B12" s="28">
        <f>B11+1</f>
        <v>42729</v>
      </c>
      <c r="C12" s="29" t="str">
        <f t="shared" si="6"/>
        <v>feriado</v>
      </c>
      <c r="D12" s="45">
        <v>0.625</v>
      </c>
      <c r="E12" s="46">
        <v>0.79166666666666663</v>
      </c>
      <c r="F12" s="45">
        <v>0.83333333333333337</v>
      </c>
      <c r="G12" s="46">
        <v>0.11458333333333333</v>
      </c>
      <c r="H12" s="30">
        <f t="shared" si="0"/>
        <v>0.25</v>
      </c>
      <c r="I12" s="30">
        <f t="shared" si="1"/>
        <v>0.19791666666666663</v>
      </c>
      <c r="J12" s="30">
        <f t="shared" si="7"/>
        <v>2.8273809523809507E-2</v>
      </c>
      <c r="K12" s="30">
        <f t="shared" si="8"/>
        <v>0.22619047619047614</v>
      </c>
      <c r="L12" s="31">
        <f t="shared" si="2"/>
        <v>0.47619047619047616</v>
      </c>
      <c r="M12" s="32">
        <f t="shared" si="3"/>
        <v>0</v>
      </c>
      <c r="N12" s="31">
        <f t="shared" si="4"/>
        <v>0</v>
      </c>
      <c r="O12" s="33">
        <f t="shared" si="5"/>
        <v>0.47619047619047616</v>
      </c>
      <c r="V12" s="10"/>
      <c r="W12" s="8"/>
    </row>
    <row r="13" spans="1:23" ht="15" customHeight="1" x14ac:dyDescent="0.2">
      <c r="B13" s="28">
        <f t="shared" ref="B13:B35" si="9">B12+1</f>
        <v>42730</v>
      </c>
      <c r="C13" s="29">
        <f t="shared" si="6"/>
        <v>42730</v>
      </c>
      <c r="D13" s="45">
        <v>0.625</v>
      </c>
      <c r="E13" s="46">
        <v>0.79166666666666663</v>
      </c>
      <c r="F13" s="45">
        <v>0.8125</v>
      </c>
      <c r="G13" s="46">
        <v>0.125</v>
      </c>
      <c r="H13" s="30">
        <f t="shared" si="0"/>
        <v>0.27083333333333326</v>
      </c>
      <c r="I13" s="30">
        <f t="shared" si="1"/>
        <v>0.20833333333333337</v>
      </c>
      <c r="J13" s="30">
        <f t="shared" si="7"/>
        <v>2.9761904761904767E-2</v>
      </c>
      <c r="K13" s="30">
        <f t="shared" si="8"/>
        <v>0.23809523809523814</v>
      </c>
      <c r="L13" s="31">
        <f t="shared" si="2"/>
        <v>0.5089285714285714</v>
      </c>
      <c r="M13" s="32">
        <f t="shared" si="3"/>
        <v>0.33333333333333331</v>
      </c>
      <c r="N13" s="31">
        <f t="shared" si="4"/>
        <v>0.17559523809523808</v>
      </c>
      <c r="O13" s="33">
        <f t="shared" si="5"/>
        <v>0</v>
      </c>
      <c r="V13" s="10"/>
      <c r="W13" s="8"/>
    </row>
    <row r="14" spans="1:23" ht="15" customHeight="1" x14ac:dyDescent="0.2">
      <c r="B14" s="28">
        <f t="shared" si="9"/>
        <v>42731</v>
      </c>
      <c r="C14" s="29">
        <f t="shared" si="6"/>
        <v>42731</v>
      </c>
      <c r="D14" s="45">
        <v>0.58333333333333337</v>
      </c>
      <c r="E14" s="46">
        <v>0.75</v>
      </c>
      <c r="F14" s="45">
        <v>0.79166666666666663</v>
      </c>
      <c r="G14" s="46">
        <v>1</v>
      </c>
      <c r="H14" s="30">
        <f t="shared" si="0"/>
        <v>0.29166666666666663</v>
      </c>
      <c r="I14" s="30">
        <f t="shared" si="1"/>
        <v>8.333333333333337E-2</v>
      </c>
      <c r="J14" s="30">
        <f t="shared" si="7"/>
        <v>1.1904761904761904E-2</v>
      </c>
      <c r="K14" s="30">
        <f t="shared" si="8"/>
        <v>9.5238095238095274E-2</v>
      </c>
      <c r="L14" s="31">
        <f t="shared" si="2"/>
        <v>0.38690476190476192</v>
      </c>
      <c r="M14" s="32">
        <f t="shared" si="3"/>
        <v>0.33333333333333331</v>
      </c>
      <c r="N14" s="31">
        <f t="shared" si="4"/>
        <v>5.3571428571428603E-2</v>
      </c>
      <c r="O14" s="33">
        <f t="shared" si="5"/>
        <v>0</v>
      </c>
      <c r="V14" s="10"/>
      <c r="W14" s="8"/>
    </row>
    <row r="15" spans="1:23" ht="15" customHeight="1" x14ac:dyDescent="0.2">
      <c r="B15" s="28">
        <f t="shared" si="9"/>
        <v>42732</v>
      </c>
      <c r="C15" s="29">
        <f t="shared" si="6"/>
        <v>42732</v>
      </c>
      <c r="D15" s="45">
        <v>0.625</v>
      </c>
      <c r="E15" s="46">
        <v>0.79166666666666663</v>
      </c>
      <c r="F15" s="45"/>
      <c r="G15" s="46"/>
      <c r="H15" s="30">
        <f t="shared" si="0"/>
        <v>0.16666666666666663</v>
      </c>
      <c r="I15" s="30">
        <f t="shared" si="1"/>
        <v>0</v>
      </c>
      <c r="J15" s="30">
        <f t="shared" si="7"/>
        <v>0</v>
      </c>
      <c r="K15" s="30">
        <f t="shared" si="8"/>
        <v>0</v>
      </c>
      <c r="L15" s="31">
        <f t="shared" si="2"/>
        <v>0.16666666666666663</v>
      </c>
      <c r="M15" s="32">
        <f t="shared" si="3"/>
        <v>0.16666666666666663</v>
      </c>
      <c r="N15" s="31">
        <f t="shared" si="4"/>
        <v>0</v>
      </c>
      <c r="O15" s="33">
        <f t="shared" si="5"/>
        <v>0</v>
      </c>
      <c r="V15" s="10"/>
      <c r="W15" s="8"/>
    </row>
    <row r="16" spans="1:23" ht="15" customHeight="1" x14ac:dyDescent="0.2">
      <c r="A16" s="2"/>
      <c r="B16" s="28">
        <f t="shared" si="9"/>
        <v>42733</v>
      </c>
      <c r="C16" s="29">
        <f t="shared" si="6"/>
        <v>42733</v>
      </c>
      <c r="D16" s="45"/>
      <c r="E16" s="46"/>
      <c r="F16" s="45"/>
      <c r="G16" s="46"/>
      <c r="H16" s="30">
        <f t="shared" si="0"/>
        <v>0</v>
      </c>
      <c r="I16" s="30">
        <f t="shared" si="1"/>
        <v>0</v>
      </c>
      <c r="J16" s="30">
        <f t="shared" si="7"/>
        <v>0</v>
      </c>
      <c r="K16" s="30">
        <f t="shared" si="8"/>
        <v>0</v>
      </c>
      <c r="L16" s="31">
        <f t="shared" si="2"/>
        <v>0</v>
      </c>
      <c r="M16" s="32">
        <f t="shared" si="3"/>
        <v>0</v>
      </c>
      <c r="N16" s="31">
        <f t="shared" si="4"/>
        <v>0</v>
      </c>
      <c r="O16" s="33">
        <f t="shared" si="5"/>
        <v>0</v>
      </c>
      <c r="V16" s="10"/>
      <c r="W16" s="8"/>
    </row>
    <row r="17" spans="1:23" ht="15" customHeight="1" x14ac:dyDescent="0.2">
      <c r="B17" s="28">
        <f t="shared" si="9"/>
        <v>42734</v>
      </c>
      <c r="C17" s="29">
        <f t="shared" si="6"/>
        <v>42734</v>
      </c>
      <c r="D17" s="45">
        <v>0.625</v>
      </c>
      <c r="E17" s="46">
        <v>0.79166666666666663</v>
      </c>
      <c r="F17" s="45">
        <v>0.83333333333333337</v>
      </c>
      <c r="G17" s="46">
        <v>0.20694444444444446</v>
      </c>
      <c r="H17" s="30">
        <f t="shared" si="0"/>
        <v>0.24999999999999994</v>
      </c>
      <c r="I17" s="30">
        <f t="shared" si="1"/>
        <v>0.29027777777777775</v>
      </c>
      <c r="J17" s="30">
        <f t="shared" si="7"/>
        <v>4.1468253968253987E-2</v>
      </c>
      <c r="K17" s="30">
        <f t="shared" si="8"/>
        <v>0.33174603174603173</v>
      </c>
      <c r="L17" s="31">
        <f t="shared" si="2"/>
        <v>0.58174603174603168</v>
      </c>
      <c r="M17" s="32">
        <f t="shared" si="3"/>
        <v>0.33333333333333331</v>
      </c>
      <c r="N17" s="31">
        <f t="shared" si="4"/>
        <v>0.24841269841269836</v>
      </c>
      <c r="O17" s="33">
        <f t="shared" si="5"/>
        <v>0</v>
      </c>
      <c r="V17" s="10"/>
      <c r="W17" s="8"/>
    </row>
    <row r="18" spans="1:23" ht="15" customHeight="1" x14ac:dyDescent="0.2">
      <c r="A18" s="2"/>
      <c r="B18" s="28">
        <f t="shared" si="9"/>
        <v>42735</v>
      </c>
      <c r="C18" s="29">
        <f t="shared" si="6"/>
        <v>42735</v>
      </c>
      <c r="D18" s="45">
        <v>0.625</v>
      </c>
      <c r="E18" s="46">
        <v>0.79166666666666663</v>
      </c>
      <c r="F18" s="45">
        <v>0.83333333333333337</v>
      </c>
      <c r="G18" s="46">
        <v>0.2076388888888889</v>
      </c>
      <c r="H18" s="30">
        <f t="shared" si="0"/>
        <v>0.24999999999999983</v>
      </c>
      <c r="I18" s="30">
        <f t="shared" si="1"/>
        <v>0.2909722222222223</v>
      </c>
      <c r="J18" s="30">
        <f t="shared" si="7"/>
        <v>4.1567460317460336E-2</v>
      </c>
      <c r="K18" s="30">
        <f t="shared" si="8"/>
        <v>0.33253968253968264</v>
      </c>
      <c r="L18" s="31">
        <f t="shared" si="2"/>
        <v>0.58253968253968247</v>
      </c>
      <c r="M18" s="32">
        <f t="shared" si="3"/>
        <v>0.16666666666666666</v>
      </c>
      <c r="N18" s="31">
        <f t="shared" si="4"/>
        <v>0.41587301587301584</v>
      </c>
      <c r="O18" s="33">
        <f t="shared" si="5"/>
        <v>0</v>
      </c>
      <c r="V18" s="10"/>
      <c r="W18" s="8"/>
    </row>
    <row r="19" spans="1:23" ht="15" customHeight="1" x14ac:dyDescent="0.2">
      <c r="B19" s="28">
        <f t="shared" si="9"/>
        <v>42736</v>
      </c>
      <c r="C19" s="29" t="str">
        <f t="shared" si="6"/>
        <v>feriado</v>
      </c>
      <c r="D19" s="45">
        <v>0.625</v>
      </c>
      <c r="E19" s="46">
        <v>0.79166666666666663</v>
      </c>
      <c r="F19" s="45">
        <v>0.83333333333333337</v>
      </c>
      <c r="G19" s="46">
        <v>0.20833333333333334</v>
      </c>
      <c r="H19" s="30">
        <f t="shared" si="0"/>
        <v>0.24999999999999994</v>
      </c>
      <c r="I19" s="30">
        <f t="shared" si="1"/>
        <v>0.29166666666666663</v>
      </c>
      <c r="J19" s="30">
        <f t="shared" si="7"/>
        <v>4.1666666666666685E-2</v>
      </c>
      <c r="K19" s="30">
        <f t="shared" si="8"/>
        <v>0.33333333333333331</v>
      </c>
      <c r="L19" s="31">
        <f t="shared" si="2"/>
        <v>0.58333333333333326</v>
      </c>
      <c r="M19" s="32">
        <f t="shared" si="3"/>
        <v>0</v>
      </c>
      <c r="N19" s="31">
        <f t="shared" si="4"/>
        <v>0</v>
      </c>
      <c r="O19" s="33">
        <f t="shared" si="5"/>
        <v>0.58333333333333326</v>
      </c>
      <c r="V19" s="10"/>
      <c r="W19" s="11"/>
    </row>
    <row r="20" spans="1:23" ht="15" customHeight="1" x14ac:dyDescent="0.2">
      <c r="B20" s="28">
        <f t="shared" si="9"/>
        <v>42737</v>
      </c>
      <c r="C20" s="29">
        <f t="shared" si="6"/>
        <v>42737</v>
      </c>
      <c r="D20" s="45">
        <v>0.625</v>
      </c>
      <c r="E20" s="46">
        <v>0.79166666666666663</v>
      </c>
      <c r="F20" s="45">
        <v>0.83333333333333337</v>
      </c>
      <c r="G20" s="46">
        <v>0.20902777777777778</v>
      </c>
      <c r="H20" s="30">
        <f t="shared" si="0"/>
        <v>0.2506944444444445</v>
      </c>
      <c r="I20" s="30">
        <f t="shared" si="1"/>
        <v>0.29166666666666663</v>
      </c>
      <c r="J20" s="30">
        <f t="shared" si="7"/>
        <v>4.1666666666666685E-2</v>
      </c>
      <c r="K20" s="30">
        <f t="shared" si="8"/>
        <v>0.33333333333333331</v>
      </c>
      <c r="L20" s="31">
        <f t="shared" si="2"/>
        <v>0.58402777777777781</v>
      </c>
      <c r="M20" s="32">
        <f t="shared" si="3"/>
        <v>0.33333333333333331</v>
      </c>
      <c r="N20" s="31">
        <f t="shared" si="4"/>
        <v>0.2506944444444445</v>
      </c>
      <c r="O20" s="33">
        <f t="shared" si="5"/>
        <v>0</v>
      </c>
      <c r="V20" s="10"/>
      <c r="W20" s="8"/>
    </row>
    <row r="21" spans="1:23" ht="15" customHeight="1" x14ac:dyDescent="0.2">
      <c r="B21" s="28">
        <f t="shared" si="9"/>
        <v>42738</v>
      </c>
      <c r="C21" s="29">
        <f t="shared" si="6"/>
        <v>42738</v>
      </c>
      <c r="D21" s="45">
        <v>0.625</v>
      </c>
      <c r="E21" s="46">
        <v>0.79166666666666663</v>
      </c>
      <c r="F21" s="45">
        <v>0.83333333333333337</v>
      </c>
      <c r="G21" s="46">
        <v>0.20972222222222223</v>
      </c>
      <c r="H21" s="30">
        <f t="shared" si="0"/>
        <v>0.25138888888888883</v>
      </c>
      <c r="I21" s="30">
        <f t="shared" si="1"/>
        <v>0.29166666666666663</v>
      </c>
      <c r="J21" s="30">
        <f t="shared" si="7"/>
        <v>4.1666666666666685E-2</v>
      </c>
      <c r="K21" s="30">
        <f t="shared" si="8"/>
        <v>0.33333333333333331</v>
      </c>
      <c r="L21" s="31">
        <f t="shared" si="2"/>
        <v>0.58472222222222214</v>
      </c>
      <c r="M21" s="32">
        <f t="shared" si="3"/>
        <v>0.33333333333333331</v>
      </c>
      <c r="N21" s="31">
        <f t="shared" si="4"/>
        <v>0.25138888888888883</v>
      </c>
      <c r="O21" s="33">
        <f t="shared" si="5"/>
        <v>0</v>
      </c>
    </row>
    <row r="22" spans="1:23" ht="15" customHeight="1" x14ac:dyDescent="0.2">
      <c r="B22" s="28">
        <f t="shared" si="9"/>
        <v>42739</v>
      </c>
      <c r="C22" s="29">
        <f t="shared" si="6"/>
        <v>42739</v>
      </c>
      <c r="D22" s="45">
        <v>0.625</v>
      </c>
      <c r="E22" s="46">
        <v>0.79166666666666663</v>
      </c>
      <c r="F22" s="45"/>
      <c r="G22" s="46"/>
      <c r="H22" s="30">
        <f t="shared" si="0"/>
        <v>0.16666666666666663</v>
      </c>
      <c r="I22" s="30">
        <f t="shared" si="1"/>
        <v>0</v>
      </c>
      <c r="J22" s="30">
        <f t="shared" si="7"/>
        <v>0</v>
      </c>
      <c r="K22" s="30">
        <f t="shared" si="8"/>
        <v>0</v>
      </c>
      <c r="L22" s="31">
        <f t="shared" si="2"/>
        <v>0.16666666666666663</v>
      </c>
      <c r="M22" s="32">
        <f t="shared" si="3"/>
        <v>0.16666666666666663</v>
      </c>
      <c r="N22" s="31">
        <f t="shared" si="4"/>
        <v>0</v>
      </c>
      <c r="O22" s="33">
        <f t="shared" si="5"/>
        <v>0</v>
      </c>
    </row>
    <row r="23" spans="1:23" ht="15" customHeight="1" x14ac:dyDescent="0.2">
      <c r="B23" s="28">
        <f t="shared" si="9"/>
        <v>42740</v>
      </c>
      <c r="C23" s="29">
        <f t="shared" si="6"/>
        <v>42740</v>
      </c>
      <c r="D23" s="45"/>
      <c r="E23" s="46"/>
      <c r="F23" s="45"/>
      <c r="G23" s="46"/>
      <c r="H23" s="30">
        <f t="shared" si="0"/>
        <v>0</v>
      </c>
      <c r="I23" s="30">
        <f t="shared" si="1"/>
        <v>0</v>
      </c>
      <c r="J23" s="30">
        <f t="shared" si="7"/>
        <v>0</v>
      </c>
      <c r="K23" s="30">
        <f t="shared" si="8"/>
        <v>0</v>
      </c>
      <c r="L23" s="31">
        <f t="shared" si="2"/>
        <v>0</v>
      </c>
      <c r="M23" s="32">
        <f t="shared" si="3"/>
        <v>0</v>
      </c>
      <c r="N23" s="31">
        <f t="shared" si="4"/>
        <v>0</v>
      </c>
      <c r="O23" s="33">
        <f t="shared" si="5"/>
        <v>0</v>
      </c>
      <c r="V23" s="5"/>
      <c r="W23" s="4"/>
    </row>
    <row r="24" spans="1:23" ht="15" customHeight="1" x14ac:dyDescent="0.2">
      <c r="B24" s="28">
        <f t="shared" si="9"/>
        <v>42741</v>
      </c>
      <c r="C24" s="29">
        <f t="shared" si="6"/>
        <v>42741</v>
      </c>
      <c r="D24" s="45">
        <v>0.9159722222222223</v>
      </c>
      <c r="E24" s="46">
        <v>6.25E-2</v>
      </c>
      <c r="F24" s="45">
        <v>7.2916666666666671E-2</v>
      </c>
      <c r="G24" s="46">
        <v>0.20972222222222223</v>
      </c>
      <c r="H24" s="30">
        <f t="shared" si="0"/>
        <v>2.0833333333331594E-3</v>
      </c>
      <c r="I24" s="30">
        <f t="shared" si="1"/>
        <v>0.28125000000000006</v>
      </c>
      <c r="J24" s="30">
        <f t="shared" si="7"/>
        <v>4.0178571428571452E-2</v>
      </c>
      <c r="K24" s="30">
        <f t="shared" si="8"/>
        <v>0.32142857142857151</v>
      </c>
      <c r="L24" s="31">
        <f t="shared" si="2"/>
        <v>0.32351190476190467</v>
      </c>
      <c r="M24" s="32">
        <f t="shared" si="3"/>
        <v>0.32351190476190467</v>
      </c>
      <c r="N24" s="31">
        <f t="shared" si="4"/>
        <v>0</v>
      </c>
      <c r="O24" s="33">
        <f t="shared" si="5"/>
        <v>0</v>
      </c>
    </row>
    <row r="25" spans="1:23" ht="15" customHeight="1" x14ac:dyDescent="0.2">
      <c r="B25" s="28">
        <f t="shared" si="9"/>
        <v>42742</v>
      </c>
      <c r="C25" s="29">
        <f t="shared" si="6"/>
        <v>42742</v>
      </c>
      <c r="D25" s="45">
        <v>0.91319444444444453</v>
      </c>
      <c r="E25" s="46">
        <v>6.25E-2</v>
      </c>
      <c r="F25" s="45">
        <v>7.2916666666666671E-2</v>
      </c>
      <c r="G25" s="46">
        <v>0.21041666666666667</v>
      </c>
      <c r="H25" s="30">
        <f t="shared" si="0"/>
        <v>5.5555555555554803E-3</v>
      </c>
      <c r="I25" s="30">
        <f t="shared" si="1"/>
        <v>0.28125000000000006</v>
      </c>
      <c r="J25" s="30">
        <f t="shared" si="7"/>
        <v>4.0178571428571452E-2</v>
      </c>
      <c r="K25" s="30">
        <f t="shared" si="8"/>
        <v>0.32142857142857151</v>
      </c>
      <c r="L25" s="31">
        <f t="shared" si="2"/>
        <v>0.32698412698412699</v>
      </c>
      <c r="M25" s="32">
        <f t="shared" si="3"/>
        <v>0.16666666666666666</v>
      </c>
      <c r="N25" s="31">
        <f t="shared" si="4"/>
        <v>0.16031746031746033</v>
      </c>
      <c r="O25" s="33">
        <f t="shared" si="5"/>
        <v>0</v>
      </c>
    </row>
    <row r="26" spans="1:23" ht="15" customHeight="1" x14ac:dyDescent="0.2">
      <c r="B26" s="28">
        <f t="shared" si="9"/>
        <v>42743</v>
      </c>
      <c r="C26" s="29">
        <f t="shared" si="6"/>
        <v>42743</v>
      </c>
      <c r="D26" s="45">
        <v>0.91319444444444453</v>
      </c>
      <c r="E26" s="46">
        <v>6.25E-2</v>
      </c>
      <c r="F26" s="45">
        <v>7.2916666666666671E-2</v>
      </c>
      <c r="G26" s="46">
        <v>0.20972222222222223</v>
      </c>
      <c r="H26" s="30">
        <f t="shared" si="0"/>
        <v>4.8611111111109273E-3</v>
      </c>
      <c r="I26" s="30">
        <f t="shared" si="1"/>
        <v>0.28125000000000006</v>
      </c>
      <c r="J26" s="30">
        <f t="shared" si="7"/>
        <v>4.0178571428571452E-2</v>
      </c>
      <c r="K26" s="30">
        <f t="shared" si="8"/>
        <v>0.32142857142857151</v>
      </c>
      <c r="L26" s="31">
        <f t="shared" si="2"/>
        <v>0.32628968253968244</v>
      </c>
      <c r="M26" s="32">
        <f t="shared" si="3"/>
        <v>0</v>
      </c>
      <c r="N26" s="31">
        <f t="shared" si="4"/>
        <v>0</v>
      </c>
      <c r="O26" s="33">
        <f t="shared" si="5"/>
        <v>0.32628968253968244</v>
      </c>
    </row>
    <row r="27" spans="1:23" ht="15" customHeight="1" x14ac:dyDescent="0.2">
      <c r="B27" s="28">
        <f t="shared" si="9"/>
        <v>42744</v>
      </c>
      <c r="C27" s="29">
        <f t="shared" si="6"/>
        <v>42744</v>
      </c>
      <c r="D27" s="45">
        <v>0.91319444444444453</v>
      </c>
      <c r="E27" s="46">
        <v>6.25E-2</v>
      </c>
      <c r="F27" s="45">
        <v>7.2916666666666671E-2</v>
      </c>
      <c r="G27" s="46">
        <v>0.20972222222222223</v>
      </c>
      <c r="H27" s="30">
        <f t="shared" si="0"/>
        <v>4.8611111111109273E-3</v>
      </c>
      <c r="I27" s="30">
        <f t="shared" si="1"/>
        <v>0.28125000000000006</v>
      </c>
      <c r="J27" s="30">
        <f t="shared" si="7"/>
        <v>4.0178571428571452E-2</v>
      </c>
      <c r="K27" s="30">
        <f t="shared" si="8"/>
        <v>0.32142857142857151</v>
      </c>
      <c r="L27" s="31">
        <f t="shared" si="2"/>
        <v>0.32628968253968244</v>
      </c>
      <c r="M27" s="32">
        <f t="shared" si="3"/>
        <v>0.32628968253968244</v>
      </c>
      <c r="N27" s="31">
        <f t="shared" si="4"/>
        <v>0</v>
      </c>
      <c r="O27" s="33">
        <f t="shared" si="5"/>
        <v>0</v>
      </c>
    </row>
    <row r="28" spans="1:23" ht="15" customHeight="1" x14ac:dyDescent="0.2">
      <c r="B28" s="28">
        <f t="shared" si="9"/>
        <v>42745</v>
      </c>
      <c r="C28" s="29">
        <f t="shared" si="6"/>
        <v>42745</v>
      </c>
      <c r="D28" s="45">
        <v>0.875</v>
      </c>
      <c r="E28" s="46">
        <v>0.25</v>
      </c>
      <c r="F28" s="45">
        <v>0.29166666666666669</v>
      </c>
      <c r="G28" s="46">
        <v>0.41666666666666669</v>
      </c>
      <c r="H28" s="30">
        <f t="shared" si="0"/>
        <v>0.20833333333333343</v>
      </c>
      <c r="I28" s="30">
        <f t="shared" si="1"/>
        <v>0.29166666666666663</v>
      </c>
      <c r="J28" s="30">
        <f t="shared" si="7"/>
        <v>4.1666666666666685E-2</v>
      </c>
      <c r="K28" s="30">
        <f t="shared" si="8"/>
        <v>0.33333333333333331</v>
      </c>
      <c r="L28" s="31">
        <f t="shared" si="2"/>
        <v>0.54166666666666674</v>
      </c>
      <c r="M28" s="32">
        <f t="shared" si="3"/>
        <v>0.33333333333333331</v>
      </c>
      <c r="N28" s="31">
        <f t="shared" si="4"/>
        <v>0.20833333333333343</v>
      </c>
      <c r="O28" s="33">
        <f t="shared" si="5"/>
        <v>0</v>
      </c>
    </row>
    <row r="29" spans="1:23" ht="15" customHeight="1" x14ac:dyDescent="0.2">
      <c r="B29" s="28">
        <f t="shared" si="9"/>
        <v>42746</v>
      </c>
      <c r="C29" s="29">
        <f t="shared" si="6"/>
        <v>42746</v>
      </c>
      <c r="D29" s="45">
        <v>0</v>
      </c>
      <c r="E29" s="46">
        <v>0.20833333333333334</v>
      </c>
      <c r="F29" s="45"/>
      <c r="G29" s="46"/>
      <c r="H29" s="30">
        <f t="shared" si="0"/>
        <v>0</v>
      </c>
      <c r="I29" s="30">
        <f t="shared" si="1"/>
        <v>0.20833333333333334</v>
      </c>
      <c r="J29" s="30">
        <f t="shared" si="7"/>
        <v>2.9761904761904767E-2</v>
      </c>
      <c r="K29" s="30">
        <f t="shared" si="8"/>
        <v>0.23809523809523811</v>
      </c>
      <c r="L29" s="31">
        <f t="shared" si="2"/>
        <v>0.23809523809523811</v>
      </c>
      <c r="M29" s="32">
        <f t="shared" si="3"/>
        <v>0.23809523809523811</v>
      </c>
      <c r="N29" s="31">
        <f t="shared" si="4"/>
        <v>0</v>
      </c>
      <c r="O29" s="33">
        <f t="shared" si="5"/>
        <v>0</v>
      </c>
    </row>
    <row r="30" spans="1:23" ht="15" customHeight="1" x14ac:dyDescent="0.2">
      <c r="B30" s="28">
        <f t="shared" si="9"/>
        <v>42747</v>
      </c>
      <c r="C30" s="29">
        <f t="shared" si="6"/>
        <v>42747</v>
      </c>
      <c r="D30" s="45"/>
      <c r="E30" s="46"/>
      <c r="F30" s="45"/>
      <c r="G30" s="46"/>
      <c r="H30" s="30">
        <f t="shared" si="0"/>
        <v>0</v>
      </c>
      <c r="I30" s="30">
        <f t="shared" si="1"/>
        <v>0</v>
      </c>
      <c r="J30" s="30">
        <f t="shared" si="7"/>
        <v>0</v>
      </c>
      <c r="K30" s="30">
        <f t="shared" si="8"/>
        <v>0</v>
      </c>
      <c r="L30" s="31">
        <f t="shared" si="2"/>
        <v>0</v>
      </c>
      <c r="M30" s="32">
        <f t="shared" si="3"/>
        <v>0</v>
      </c>
      <c r="N30" s="31">
        <f t="shared" si="4"/>
        <v>0</v>
      </c>
      <c r="O30" s="33">
        <f t="shared" si="5"/>
        <v>0</v>
      </c>
    </row>
    <row r="31" spans="1:23" ht="15" customHeight="1" x14ac:dyDescent="0.2">
      <c r="B31" s="28">
        <f t="shared" si="9"/>
        <v>42748</v>
      </c>
      <c r="C31" s="29">
        <f>IF(B31="","",IF(COUNTIF(fer,B31)&gt;0,"feriado",B31))</f>
        <v>42748</v>
      </c>
      <c r="D31" s="45">
        <v>3.472222222222222E-3</v>
      </c>
      <c r="E31" s="46">
        <v>0.29166666666666669</v>
      </c>
      <c r="F31" s="45">
        <v>0.33333333333333331</v>
      </c>
      <c r="G31" s="46">
        <v>0.45833333333333331</v>
      </c>
      <c r="H31" s="30">
        <f t="shared" si="0"/>
        <v>0.20833333333333334</v>
      </c>
      <c r="I31" s="30">
        <f t="shared" si="1"/>
        <v>0.20486111111111113</v>
      </c>
      <c r="J31" s="30">
        <f t="shared" si="7"/>
        <v>2.9265873015873023E-2</v>
      </c>
      <c r="K31" s="30">
        <f t="shared" si="8"/>
        <v>0.23412698412698416</v>
      </c>
      <c r="L31" s="31">
        <f t="shared" si="2"/>
        <v>0.4424603174603175</v>
      </c>
      <c r="M31" s="32">
        <f t="shared" si="3"/>
        <v>0.33333333333333331</v>
      </c>
      <c r="N31" s="31">
        <f t="shared" si="4"/>
        <v>0.10912698412698418</v>
      </c>
      <c r="O31" s="33">
        <f t="shared" si="5"/>
        <v>0</v>
      </c>
    </row>
    <row r="32" spans="1:23" ht="15" customHeight="1" x14ac:dyDescent="0.2">
      <c r="B32" s="28">
        <f t="shared" si="9"/>
        <v>42749</v>
      </c>
      <c r="C32" s="29">
        <f t="shared" si="6"/>
        <v>42749</v>
      </c>
      <c r="D32" s="45">
        <v>0.625</v>
      </c>
      <c r="E32" s="46">
        <v>0.79166666666666663</v>
      </c>
      <c r="F32" s="45">
        <v>0.83333333333333337</v>
      </c>
      <c r="G32" s="46">
        <v>1</v>
      </c>
      <c r="H32" s="30">
        <f t="shared" si="0"/>
        <v>0.24999999999999989</v>
      </c>
      <c r="I32" s="30">
        <f t="shared" si="1"/>
        <v>8.333333333333337E-2</v>
      </c>
      <c r="J32" s="30">
        <f t="shared" si="7"/>
        <v>1.1904761904761904E-2</v>
      </c>
      <c r="K32" s="30">
        <f t="shared" si="8"/>
        <v>9.5238095238095274E-2</v>
      </c>
      <c r="L32" s="31">
        <f t="shared" si="2"/>
        <v>0.34523809523809518</v>
      </c>
      <c r="M32" s="32">
        <f t="shared" si="3"/>
        <v>0.16666666666666666</v>
      </c>
      <c r="N32" s="31">
        <f t="shared" si="4"/>
        <v>0.17857142857142852</v>
      </c>
      <c r="O32" s="33">
        <f t="shared" si="5"/>
        <v>0</v>
      </c>
    </row>
    <row r="33" spans="2:15" ht="15" customHeight="1" x14ac:dyDescent="0.2">
      <c r="B33" s="28">
        <f t="shared" si="9"/>
        <v>42750</v>
      </c>
      <c r="C33" s="29">
        <f t="shared" si="6"/>
        <v>42750</v>
      </c>
      <c r="D33" s="45">
        <v>0.75</v>
      </c>
      <c r="E33" s="46">
        <v>1</v>
      </c>
      <c r="F33" s="45">
        <v>4.1666666666666664E-2</v>
      </c>
      <c r="G33" s="46">
        <v>0.29166666666666669</v>
      </c>
      <c r="H33" s="30">
        <f t="shared" si="0"/>
        <v>0.24999999999999994</v>
      </c>
      <c r="I33" s="30">
        <f t="shared" si="1"/>
        <v>0.25000000000000006</v>
      </c>
      <c r="J33" s="30">
        <f t="shared" si="7"/>
        <v>3.5714285714285698E-2</v>
      </c>
      <c r="K33" s="30">
        <f t="shared" si="8"/>
        <v>0.28571428571428575</v>
      </c>
      <c r="L33" s="31">
        <f t="shared" si="2"/>
        <v>0.5357142857142857</v>
      </c>
      <c r="M33" s="32">
        <f t="shared" si="3"/>
        <v>0</v>
      </c>
      <c r="N33" s="31">
        <f t="shared" si="4"/>
        <v>0</v>
      </c>
      <c r="O33" s="33">
        <f t="shared" si="5"/>
        <v>0.5357142857142857</v>
      </c>
    </row>
    <row r="34" spans="2:15" ht="15" customHeight="1" x14ac:dyDescent="0.2">
      <c r="B34" s="28">
        <f t="shared" si="9"/>
        <v>42751</v>
      </c>
      <c r="C34" s="29">
        <f t="shared" si="6"/>
        <v>42751</v>
      </c>
      <c r="D34" s="45">
        <v>0.625</v>
      </c>
      <c r="E34" s="46">
        <v>0.79166666666666663</v>
      </c>
      <c r="F34" s="45">
        <v>0.83333333333333337</v>
      </c>
      <c r="G34" s="46">
        <v>1</v>
      </c>
      <c r="H34" s="30">
        <f t="shared" si="0"/>
        <v>0.24999999999999989</v>
      </c>
      <c r="I34" s="30">
        <f t="shared" si="1"/>
        <v>8.333333333333337E-2</v>
      </c>
      <c r="J34" s="30">
        <f t="shared" si="7"/>
        <v>1.1904761904761904E-2</v>
      </c>
      <c r="K34" s="30">
        <f t="shared" si="8"/>
        <v>9.5238095238095274E-2</v>
      </c>
      <c r="L34" s="31">
        <f t="shared" si="2"/>
        <v>0.34523809523809518</v>
      </c>
      <c r="M34" s="32">
        <f t="shared" si="3"/>
        <v>0.33333333333333331</v>
      </c>
      <c r="N34" s="31">
        <f t="shared" si="4"/>
        <v>1.1904761904761862E-2</v>
      </c>
      <c r="O34" s="33">
        <f t="shared" si="5"/>
        <v>0</v>
      </c>
    </row>
    <row r="35" spans="2:15" ht="15" customHeight="1" x14ac:dyDescent="0.2">
      <c r="B35" s="28">
        <f t="shared" si="9"/>
        <v>42752</v>
      </c>
      <c r="C35" s="29">
        <f t="shared" si="6"/>
        <v>42752</v>
      </c>
      <c r="D35" s="45">
        <v>0.625</v>
      </c>
      <c r="E35" s="46">
        <v>0.79166666666666663</v>
      </c>
      <c r="F35" s="45">
        <v>0.83333333333333337</v>
      </c>
      <c r="G35" s="46">
        <v>1</v>
      </c>
      <c r="H35" s="30">
        <f t="shared" si="0"/>
        <v>0.24999999999999989</v>
      </c>
      <c r="I35" s="30">
        <f t="shared" si="1"/>
        <v>8.333333333333337E-2</v>
      </c>
      <c r="J35" s="30">
        <f t="shared" si="7"/>
        <v>1.1904761904761904E-2</v>
      </c>
      <c r="K35" s="30">
        <f t="shared" si="8"/>
        <v>9.5238095238095274E-2</v>
      </c>
      <c r="L35" s="31">
        <f t="shared" si="2"/>
        <v>0.34523809523809518</v>
      </c>
      <c r="M35" s="32">
        <f t="shared" si="3"/>
        <v>0.33333333333333331</v>
      </c>
      <c r="N35" s="31">
        <f t="shared" si="4"/>
        <v>1.1904761904761862E-2</v>
      </c>
      <c r="O35" s="33">
        <f t="shared" si="5"/>
        <v>0</v>
      </c>
    </row>
    <row r="36" spans="2:15" ht="15" customHeight="1" x14ac:dyDescent="0.2">
      <c r="B36" s="34">
        <f>IF(B35="","",IF(B35&gt;=fim,"",B35+1))</f>
        <v>42753</v>
      </c>
      <c r="C36" s="29">
        <f t="shared" si="6"/>
        <v>42753</v>
      </c>
      <c r="D36" s="45">
        <v>0.625</v>
      </c>
      <c r="E36" s="46">
        <v>0.79166666666666663</v>
      </c>
      <c r="F36" s="45"/>
      <c r="G36" s="46"/>
      <c r="H36" s="30">
        <f t="shared" si="0"/>
        <v>0.16666666666666663</v>
      </c>
      <c r="I36" s="30">
        <f t="shared" si="1"/>
        <v>0</v>
      </c>
      <c r="J36" s="30">
        <f t="shared" si="7"/>
        <v>0</v>
      </c>
      <c r="K36" s="30">
        <f t="shared" si="8"/>
        <v>0</v>
      </c>
      <c r="L36" s="31">
        <f t="shared" si="2"/>
        <v>0.16666666666666663</v>
      </c>
      <c r="M36" s="32">
        <f t="shared" si="3"/>
        <v>0.16666666666666663</v>
      </c>
      <c r="N36" s="31">
        <f t="shared" si="4"/>
        <v>0</v>
      </c>
      <c r="O36" s="33">
        <f t="shared" si="5"/>
        <v>0</v>
      </c>
    </row>
    <row r="37" spans="2:15" ht="15" customHeight="1" x14ac:dyDescent="0.2">
      <c r="B37" s="34">
        <f>IF(B36="","",IF(B36&gt;=fim,"",B36+1))</f>
        <v>42754</v>
      </c>
      <c r="C37" s="29">
        <f t="shared" si="6"/>
        <v>42754</v>
      </c>
      <c r="D37" s="45"/>
      <c r="E37" s="46"/>
      <c r="F37" s="45"/>
      <c r="G37" s="46"/>
      <c r="H37" s="30">
        <f t="shared" si="0"/>
        <v>0</v>
      </c>
      <c r="I37" s="30">
        <f t="shared" si="1"/>
        <v>0</v>
      </c>
      <c r="J37" s="30">
        <f t="shared" si="7"/>
        <v>0</v>
      </c>
      <c r="K37" s="30">
        <f t="shared" si="8"/>
        <v>0</v>
      </c>
      <c r="L37" s="31">
        <f t="shared" si="2"/>
        <v>0</v>
      </c>
      <c r="M37" s="32">
        <f t="shared" si="3"/>
        <v>0</v>
      </c>
      <c r="N37" s="31">
        <f t="shared" si="4"/>
        <v>0</v>
      </c>
      <c r="O37" s="33">
        <f t="shared" si="5"/>
        <v>0</v>
      </c>
    </row>
    <row r="38" spans="2:15" ht="15" customHeight="1" x14ac:dyDescent="0.2">
      <c r="B38" s="35">
        <f>IF(B37="","",IF(B37&gt;=fim,"",B37+1))</f>
        <v>42755</v>
      </c>
      <c r="C38" s="36">
        <f t="shared" si="6"/>
        <v>42755</v>
      </c>
      <c r="D38" s="47">
        <v>0.66666666666666663</v>
      </c>
      <c r="E38" s="48">
        <v>0.83333333333333337</v>
      </c>
      <c r="F38" s="47">
        <v>0.875</v>
      </c>
      <c r="G38" s="48">
        <v>8.3333333333333329E-2</v>
      </c>
      <c r="H38" s="37">
        <f t="shared" si="0"/>
        <v>0.20833333333333351</v>
      </c>
      <c r="I38" s="37">
        <f t="shared" si="1"/>
        <v>0.16666666666666663</v>
      </c>
      <c r="J38" s="37">
        <f t="shared" si="7"/>
        <v>2.3809523809523808E-2</v>
      </c>
      <c r="K38" s="37">
        <f t="shared" si="8"/>
        <v>0.19047619047619044</v>
      </c>
      <c r="L38" s="38">
        <f t="shared" si="2"/>
        <v>0.39880952380952395</v>
      </c>
      <c r="M38" s="39">
        <f t="shared" si="3"/>
        <v>0.33333333333333331</v>
      </c>
      <c r="N38" s="38">
        <f t="shared" si="4"/>
        <v>6.5476190476190632E-2</v>
      </c>
      <c r="O38" s="40">
        <f t="shared" si="5"/>
        <v>0</v>
      </c>
    </row>
    <row r="39" spans="2:15" ht="15" customHeight="1" x14ac:dyDescent="0.2">
      <c r="B39" s="50" t="s">
        <v>46</v>
      </c>
      <c r="C39" s="50" t="s">
        <v>45</v>
      </c>
      <c r="D39" s="50" t="s">
        <v>40</v>
      </c>
      <c r="E39" s="50" t="s">
        <v>41</v>
      </c>
      <c r="F39" s="50" t="s">
        <v>42</v>
      </c>
      <c r="G39" s="50" t="s">
        <v>43</v>
      </c>
      <c r="H39" s="50" t="s">
        <v>44</v>
      </c>
      <c r="I39" s="50" t="s">
        <v>53</v>
      </c>
      <c r="J39" s="51" t="s">
        <v>47</v>
      </c>
      <c r="K39" s="52">
        <f>SUM(K8:K38)</f>
        <v>5.4222222222222225</v>
      </c>
      <c r="L39" s="52">
        <f>SUM(L8:L38)</f>
        <v>10.295833333333333</v>
      </c>
      <c r="M39" s="53" t="s">
        <v>47</v>
      </c>
      <c r="N39" s="52">
        <f>SUM(N8:N38)</f>
        <v>2.4864087301587303</v>
      </c>
      <c r="O39" s="52">
        <f>SUM(O8:O38)</f>
        <v>1.9215277777777775</v>
      </c>
    </row>
    <row r="40" spans="2:15" ht="15" customHeight="1" x14ac:dyDescent="0.2">
      <c r="B40" s="54">
        <f>B8</f>
        <v>42725</v>
      </c>
      <c r="C40" s="54">
        <f>MAX(B8:B38)</f>
        <v>42755</v>
      </c>
      <c r="D40" s="55">
        <f>COUNTIF(C8:C38,"feriado")</f>
        <v>2</v>
      </c>
      <c r="E40" s="56">
        <f ca="1">SUMPRODUCT((WEEKDAY(ROW(INDIRECT($B40&amp;":"&amp;$C40)))=1)*(COUNTIF(fer,ROW(INDIRECT($B40&amp;":"&amp;$C40)))=0))</f>
        <v>2</v>
      </c>
      <c r="F40" s="56">
        <f>C40-B40+1</f>
        <v>31</v>
      </c>
      <c r="G40" s="56">
        <f ca="1">F40-H40</f>
        <v>27</v>
      </c>
      <c r="H40" s="56">
        <f ca="1">D40+E40</f>
        <v>4</v>
      </c>
      <c r="I40" s="60" t="str">
        <f ca="1">G40&amp;"/"&amp;H40</f>
        <v>27/4</v>
      </c>
      <c r="J40" s="51" t="s">
        <v>48</v>
      </c>
      <c r="K40" s="57">
        <f>K39*24</f>
        <v>130.13333333333333</v>
      </c>
      <c r="L40" s="57">
        <f>L39*24</f>
        <v>247.09999999999997</v>
      </c>
      <c r="M40" s="58" t="s">
        <v>48</v>
      </c>
      <c r="N40" s="57">
        <f>N39*24</f>
        <v>59.673809523809524</v>
      </c>
      <c r="O40" s="57">
        <f>O39*24</f>
        <v>46.11666666666666</v>
      </c>
    </row>
    <row r="41" spans="2:15" ht="15" customHeight="1" x14ac:dyDescent="0.2">
      <c r="B41" s="118">
        <f>IF(dia_f="","",DATE(ano_p,mês_p,1))</f>
        <v>42736</v>
      </c>
      <c r="C41" s="118">
        <f>IF(dia_f="","",DATE(ano_p,mês_p+1,0))</f>
        <v>42766</v>
      </c>
      <c r="D41" s="119">
        <f>IF(B41="","",SUMPRODUCT(((WEEKDAY(fer)&gt;1))*(fer&gt;=B41)*(fer&lt;=C41)))</f>
        <v>0</v>
      </c>
      <c r="E41" s="119">
        <f ca="1">IF(B41="","",SUMPRODUCT((WEEKDAY(ROW(INDIRECT($B41&amp;":"&amp;$C41)))=1)*1))</f>
        <v>5</v>
      </c>
      <c r="F41" s="119">
        <f>IF(B41="","",DAY(C41))</f>
        <v>31</v>
      </c>
      <c r="G41" s="119">
        <f ca="1">IF(B41="","",SUMPRODUCT((WEEKDAY(ROW(INDIRECT(B41&amp;":"&amp;C41)))&gt;1)*(COUNTIF(fer,ROW(INDIRECT(B41&amp;":"&amp;C41)))=0)))</f>
        <v>26</v>
      </c>
      <c r="H41" s="119">
        <f ca="1">IF(B41="","",D41+E41)</f>
        <v>5</v>
      </c>
      <c r="I41" s="120" t="str">
        <f ca="1">IF(B41="","",G41&amp;"/"&amp;H41)</f>
        <v>26/5</v>
      </c>
      <c r="J41" s="58" t="s">
        <v>49</v>
      </c>
      <c r="K41" s="57">
        <f ca="1">$K$40/$G40*$H40</f>
        <v>19.279012345679011</v>
      </c>
      <c r="L41" s="51"/>
      <c r="M41" s="59" t="s">
        <v>49</v>
      </c>
      <c r="N41" s="57">
        <f ca="1">$N$40/$G40*$H40</f>
        <v>8.840564373897708</v>
      </c>
      <c r="O41" s="57">
        <f ca="1">$O$40/$G40*$H40</f>
        <v>6.8320987654320975</v>
      </c>
    </row>
    <row r="42" spans="2:15" x14ac:dyDescent="0.2">
      <c r="J42" s="115" t="str">
        <f>IF(B41="","","Dsr mês:")</f>
        <v>Dsr mês:</v>
      </c>
      <c r="K42" s="116">
        <f ca="1">IF(B41="","",$K$40/$G41*$H41)</f>
        <v>25.025641025641026</v>
      </c>
      <c r="M42" s="115" t="str">
        <f>IF(B41="","","Dsr mês:")</f>
        <v>Dsr mês:</v>
      </c>
      <c r="N42" s="116">
        <f ca="1">IF(B41="","",$N$40/$G41*$H41)</f>
        <v>11.4757326007326</v>
      </c>
      <c r="O42" s="116">
        <f ca="1">IF(B41="","",$O$40/$G41*$H41)</f>
        <v>8.8685897435897427</v>
      </c>
    </row>
    <row r="43" spans="2:15" x14ac:dyDescent="0.2">
      <c r="K43" s="117"/>
    </row>
    <row r="44" spans="2:15" ht="18.75" hidden="1" x14ac:dyDescent="0.2">
      <c r="G44" s="1"/>
      <c r="H44" s="1"/>
      <c r="I44" s="1"/>
      <c r="J44" s="1"/>
      <c r="K44" s="1"/>
    </row>
    <row r="128" spans="3:4" hidden="1" x14ac:dyDescent="0.2">
      <c r="C128" s="67" t="s">
        <v>50</v>
      </c>
      <c r="D128" s="68">
        <f>IF(dia_f="",DATE(ano_p,mês_p,1),DATE(ano_p,mês_p-1,dia_f+1))</f>
        <v>42725</v>
      </c>
    </row>
    <row r="129" spans="3:4" hidden="1" x14ac:dyDescent="0.2">
      <c r="C129" s="63" t="s">
        <v>56</v>
      </c>
      <c r="D129" s="68">
        <f>IF(dia_f="",DATE(ano_p,mês_p+1,0),(DATE(ano_p,mês_p,dia_f)))</f>
        <v>42755</v>
      </c>
    </row>
  </sheetData>
  <mergeCells count="4">
    <mergeCell ref="L2:L3"/>
    <mergeCell ref="V7:W7"/>
    <mergeCell ref="F2:H2"/>
    <mergeCell ref="F3:H3"/>
  </mergeCells>
  <conditionalFormatting sqref="H8:O38">
    <cfRule type="expression" dxfId="18" priority="14">
      <formula>WEEKDAY($B8,2)=7</formula>
    </cfRule>
    <cfRule type="expression" dxfId="17" priority="15">
      <formula>COUNTIF(fer,$B8)&gt;0</formula>
    </cfRule>
  </conditionalFormatting>
  <conditionalFormatting sqref="B8:C38">
    <cfRule type="expression" dxfId="16" priority="12">
      <formula>WEEKDAY($B8,2)=7</formula>
    </cfRule>
    <cfRule type="expression" dxfId="15" priority="13">
      <formula>COUNTIF(fer,$B8)&gt;0</formula>
    </cfRule>
  </conditionalFormatting>
  <conditionalFormatting sqref="D8:G21 D28:G38">
    <cfRule type="expression" dxfId="14" priority="10">
      <formula>WEEKDAY($B8,2)=7</formula>
    </cfRule>
    <cfRule type="expression" dxfId="13" priority="11">
      <formula>COUNTIF(fer,$B8)&gt;0</formula>
    </cfRule>
  </conditionalFormatting>
  <conditionalFormatting sqref="D22:G27">
    <cfRule type="expression" dxfId="12" priority="8">
      <formula>WEEKDAY($B22,2)=7</formula>
    </cfRule>
    <cfRule type="expression" dxfId="11" priority="9">
      <formula>COUNTIF(fer,$B22)&gt;0</formula>
    </cfRule>
  </conditionalFormatting>
  <conditionalFormatting sqref="B41:C41">
    <cfRule type="expression" dxfId="10" priority="7">
      <formula>dia_f&lt;&gt;""</formula>
    </cfRule>
  </conditionalFormatting>
  <conditionalFormatting sqref="D41:I41">
    <cfRule type="expression" dxfId="9" priority="6">
      <formula>dia_f&lt;&gt;""</formula>
    </cfRule>
  </conditionalFormatting>
  <conditionalFormatting sqref="J42">
    <cfRule type="expression" dxfId="8" priority="5">
      <formula>dia_f&lt;&gt;""</formula>
    </cfRule>
  </conditionalFormatting>
  <conditionalFormatting sqref="L42">
    <cfRule type="expression" dxfId="7" priority="4">
      <formula>dia_f&lt;&gt;""</formula>
    </cfRule>
  </conditionalFormatting>
  <conditionalFormatting sqref="M42">
    <cfRule type="expression" dxfId="6" priority="3">
      <formula>dia_f&lt;&gt;""</formula>
    </cfRule>
  </conditionalFormatting>
  <conditionalFormatting sqref="N42:O42">
    <cfRule type="expression" dxfId="5" priority="2">
      <formula>dia_f&lt;&gt;""</formula>
    </cfRule>
  </conditionalFormatting>
  <conditionalFormatting sqref="K42">
    <cfRule type="expression" dxfId="4" priority="1">
      <formula>dia_f&lt;&gt;""</formula>
    </cfRule>
  </conditionalFormatting>
  <pageMargins left="0.75" right="0.75" top="1" bottom="1" header="0.49212598499999999" footer="0.49212598499999999"/>
  <pageSetup paperSize="9" scale="8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X35"/>
  <sheetViews>
    <sheetView showGridLines="0" workbookViewId="0">
      <selection sqref="A1:L19"/>
    </sheetView>
  </sheetViews>
  <sheetFormatPr defaultRowHeight="12.75" x14ac:dyDescent="0.2"/>
  <cols>
    <col min="1" max="1" width="4.7109375" style="69" customWidth="1"/>
    <col min="2" max="2" width="6.7109375" style="69" customWidth="1"/>
    <col min="3" max="3" width="25" style="69" customWidth="1"/>
    <col min="4" max="4" width="14.42578125" style="69" customWidth="1"/>
    <col min="5" max="6" width="10.7109375" style="69" bestFit="1" customWidth="1"/>
    <col min="7" max="7" width="12.42578125" style="69" customWidth="1"/>
    <col min="8" max="11" width="9.140625" style="69"/>
    <col min="12" max="12" width="3" style="69" customWidth="1"/>
    <col min="13" max="21" width="9.140625" style="69"/>
    <col min="22" max="23" width="0" style="69" hidden="1" customWidth="1"/>
    <col min="24" max="24" width="10.140625" style="69" hidden="1" customWidth="1"/>
    <col min="25" max="25" width="0" style="69" hidden="1" customWidth="1"/>
    <col min="26" max="16384" width="9.140625" style="69"/>
  </cols>
  <sheetData>
    <row r="1" spans="1:24" ht="20.100000000000001" customHeight="1" x14ac:dyDescent="0.2">
      <c r="A1" s="132" t="s">
        <v>8</v>
      </c>
      <c r="B1" s="132"/>
      <c r="C1" s="49" t="s">
        <v>19</v>
      </c>
      <c r="D1" s="132" t="s">
        <v>37</v>
      </c>
      <c r="E1" s="132"/>
    </row>
    <row r="2" spans="1:24" ht="20.100000000000001" customHeight="1" x14ac:dyDescent="0.25">
      <c r="A2" s="70"/>
      <c r="B2" s="71">
        <f>ano_p</f>
        <v>2017</v>
      </c>
      <c r="C2" s="72">
        <f>ROUND(DATE($B$2,4,MOD(234-11*MOD($B$2,19),30))/7,)*7-6</f>
        <v>42841</v>
      </c>
      <c r="D2" s="73" t="s">
        <v>50</v>
      </c>
      <c r="E2" s="74">
        <f>ININOT</f>
        <v>0.91666666666666663</v>
      </c>
    </row>
    <row r="3" spans="1:24" ht="20.100000000000001" customHeight="1" x14ac:dyDescent="0.2">
      <c r="A3" s="75"/>
      <c r="B3" s="76"/>
      <c r="C3" s="77"/>
      <c r="D3" s="78" t="s">
        <v>51</v>
      </c>
      <c r="E3" s="79">
        <f>FIMNOT</f>
        <v>0.20833333333333334</v>
      </c>
    </row>
    <row r="4" spans="1:24" ht="15" x14ac:dyDescent="0.2">
      <c r="A4" s="133" t="s">
        <v>33</v>
      </c>
      <c r="B4" s="134"/>
      <c r="C4" s="134"/>
      <c r="D4" s="134"/>
      <c r="E4" s="134"/>
      <c r="F4" s="134"/>
      <c r="G4" s="80"/>
    </row>
    <row r="5" spans="1:24" ht="18" customHeight="1" x14ac:dyDescent="0.25">
      <c r="A5" s="135" t="s">
        <v>22</v>
      </c>
      <c r="B5" s="15" t="s">
        <v>23</v>
      </c>
      <c r="C5" s="12" t="s">
        <v>10</v>
      </c>
      <c r="D5" s="81">
        <f>IF($B$5="X",DATE($B$2-1,1,1),DATE(1905,1,1))</f>
        <v>42370</v>
      </c>
      <c r="E5" s="81">
        <f>IF($B$5="X",DATE($B$2,1,1),DATE(1905,1,1))</f>
        <v>42736</v>
      </c>
      <c r="F5" s="81">
        <f>IF($B$5="X",DATE($B$2+1,1,1),DATE(1905,1,1))</f>
        <v>43101</v>
      </c>
      <c r="G5" s="82">
        <f>ROUND(DATE($B$2-1,4,MOD(234-11*MOD($B$2-1,19),30))/7,)*7-6</f>
        <v>42456</v>
      </c>
      <c r="V5" s="83">
        <v>1</v>
      </c>
      <c r="W5" s="83">
        <v>1</v>
      </c>
      <c r="X5" s="84">
        <f>DATE(1905,1,1)</f>
        <v>1828</v>
      </c>
    </row>
    <row r="6" spans="1:24" ht="18" customHeight="1" x14ac:dyDescent="0.25">
      <c r="A6" s="136"/>
      <c r="B6" s="16" t="s">
        <v>23</v>
      </c>
      <c r="C6" s="13" t="s">
        <v>11</v>
      </c>
      <c r="D6" s="14">
        <f>IF($B$6="X",DATE($B$2-1,4,21),DATE(1905,1,1))</f>
        <v>42481</v>
      </c>
      <c r="E6" s="85">
        <f>IF($B$5="X",DATE($B$2,4,21),DATE(1905,1,1))</f>
        <v>42846</v>
      </c>
      <c r="F6" s="85">
        <f>IF($B$5="X",DATE($B$2+1,4,21),DATE(1905,1,1))</f>
        <v>43211</v>
      </c>
      <c r="G6" s="82">
        <f>ROUND(DATE($B$2+1,4,MOD(234-11*MOD($B$2+1,19),30))/7,)*7-6</f>
        <v>43191</v>
      </c>
      <c r="V6" s="83">
        <v>2</v>
      </c>
      <c r="W6" s="83">
        <v>2</v>
      </c>
      <c r="X6" s="83"/>
    </row>
    <row r="7" spans="1:24" ht="18" customHeight="1" x14ac:dyDescent="0.25">
      <c r="A7" s="136"/>
      <c r="B7" s="16" t="s">
        <v>23</v>
      </c>
      <c r="C7" s="13" t="s">
        <v>12</v>
      </c>
      <c r="D7" s="14">
        <f>IF($B$7="X",DATE($B$2-1,5,1),DATE(1905,1,1))</f>
        <v>42491</v>
      </c>
      <c r="E7" s="85">
        <f>IF($B$5="X",DATE($B$2,5,1),DATE(1905,1,1))</f>
        <v>42856</v>
      </c>
      <c r="F7" s="85">
        <f>IF($B$5="X",DATE($B$2+1,5,1),DATE(1905,1,1))</f>
        <v>43221</v>
      </c>
      <c r="G7" s="86"/>
      <c r="V7" s="83">
        <v>3</v>
      </c>
      <c r="W7" s="83">
        <v>3</v>
      </c>
      <c r="X7" s="83"/>
    </row>
    <row r="8" spans="1:24" ht="18" customHeight="1" x14ac:dyDescent="0.25">
      <c r="A8" s="136"/>
      <c r="B8" s="16" t="s">
        <v>23</v>
      </c>
      <c r="C8" s="13" t="s">
        <v>13</v>
      </c>
      <c r="D8" s="14">
        <f>IF($B$8="X",DATE($B$2-1,9,7),DATE(1905,1,1))</f>
        <v>42620</v>
      </c>
      <c r="E8" s="85">
        <f>IF($B$5="X",DATE($B$2,9,7),DATE(1905,1,1))</f>
        <v>42985</v>
      </c>
      <c r="F8" s="85">
        <f>IF($B$5="X",DATE($B$2+1,9,7),DATE(1905,1,1))</f>
        <v>43350</v>
      </c>
      <c r="G8" s="86"/>
      <c r="V8" s="83">
        <v>4</v>
      </c>
      <c r="W8" s="83">
        <v>4</v>
      </c>
      <c r="X8" s="83"/>
    </row>
    <row r="9" spans="1:24" ht="18" customHeight="1" x14ac:dyDescent="0.25">
      <c r="A9" s="136"/>
      <c r="B9" s="16" t="s">
        <v>23</v>
      </c>
      <c r="C9" s="13" t="s">
        <v>14</v>
      </c>
      <c r="D9" s="14">
        <f>IF($B$9="X",DATE($B$2-1,10,12),DATE(1905,1,1))</f>
        <v>42655</v>
      </c>
      <c r="E9" s="85">
        <f>IF($B$5="X",DATE($B$2,10,12),DATE(1905,1,1))</f>
        <v>43020</v>
      </c>
      <c r="F9" s="85">
        <f>IF($B$5="X",DATE($B$2+1,10,12),DATE(1905,1,1))</f>
        <v>43385</v>
      </c>
      <c r="G9" s="86"/>
      <c r="V9" s="83">
        <v>5</v>
      </c>
      <c r="W9" s="83">
        <v>5</v>
      </c>
      <c r="X9" s="83"/>
    </row>
    <row r="10" spans="1:24" ht="18" customHeight="1" x14ac:dyDescent="0.25">
      <c r="A10" s="136"/>
      <c r="B10" s="16" t="s">
        <v>23</v>
      </c>
      <c r="C10" s="13" t="s">
        <v>15</v>
      </c>
      <c r="D10" s="14">
        <f>IF($B$10="X",DATE($B$2-1,11,2),DATE(1905,1,1))</f>
        <v>42676</v>
      </c>
      <c r="E10" s="85">
        <f>IF($B$5="X",DATE($B$2,11,2),DATE(1905,1,1))</f>
        <v>43041</v>
      </c>
      <c r="F10" s="85">
        <f>IF($B$5="X",DATE($B$2+1,11,2),DATE(1905,1,1))</f>
        <v>43406</v>
      </c>
      <c r="G10" s="86"/>
      <c r="V10" s="83">
        <v>6</v>
      </c>
      <c r="W10" s="83">
        <v>6</v>
      </c>
      <c r="X10" s="83"/>
    </row>
    <row r="11" spans="1:24" ht="18" customHeight="1" x14ac:dyDescent="0.25">
      <c r="A11" s="136"/>
      <c r="B11" s="16" t="s">
        <v>23</v>
      </c>
      <c r="C11" s="13" t="s">
        <v>16</v>
      </c>
      <c r="D11" s="14">
        <f>IF($B$11="X",DATE($B$2-1,11,15),DATE(1905,1,1))</f>
        <v>42689</v>
      </c>
      <c r="E11" s="85">
        <f>IF($B$5="X",DATE($B$2,11,15),DATE(1905,1,1))</f>
        <v>43054</v>
      </c>
      <c r="F11" s="85">
        <f>IF($B$5="X",DATE($B$2+1,11,15),DATE(1905,1,1))</f>
        <v>43419</v>
      </c>
      <c r="G11" s="86"/>
      <c r="V11" s="83">
        <v>7</v>
      </c>
      <c r="W11" s="83">
        <v>7</v>
      </c>
      <c r="X11" s="83"/>
    </row>
    <row r="12" spans="1:24" ht="18" customHeight="1" x14ac:dyDescent="0.25">
      <c r="A12" s="137"/>
      <c r="B12" s="17" t="s">
        <v>23</v>
      </c>
      <c r="C12" s="18" t="s">
        <v>17</v>
      </c>
      <c r="D12" s="19">
        <f>IF($B$12="X",DATE($B$2-1,12,25),DATE(1905,1,1))</f>
        <v>42729</v>
      </c>
      <c r="E12" s="87">
        <f>IF($B$5="X",DATE($B$2,12,25),DATE(1905,1,1))</f>
        <v>43094</v>
      </c>
      <c r="F12" s="87">
        <f>IF($B$5="X",DATE($B$2+1,12,25),DATE(1905,1,1))</f>
        <v>43459</v>
      </c>
      <c r="G12" s="86"/>
      <c r="V12" s="83">
        <v>8</v>
      </c>
      <c r="W12" s="83">
        <v>8</v>
      </c>
      <c r="X12" s="83"/>
    </row>
    <row r="13" spans="1:24" ht="18" customHeight="1" x14ac:dyDescent="0.25">
      <c r="A13" s="138" t="s">
        <v>29</v>
      </c>
      <c r="B13" s="88" t="s">
        <v>23</v>
      </c>
      <c r="C13" s="89" t="s">
        <v>24</v>
      </c>
      <c r="D13" s="90">
        <f>IF($B$13="X",$G$5-2,DATE(1905,1,1))</f>
        <v>42454</v>
      </c>
      <c r="E13" s="90">
        <f>IF($B$13="X",páscoa-2,DATE(1905,1,1))</f>
        <v>42839</v>
      </c>
      <c r="F13" s="90">
        <f>IF($B$13="X",$G$6-2,DATE(1905,1,1))</f>
        <v>43189</v>
      </c>
      <c r="G13" s="91"/>
      <c r="V13" s="83">
        <v>9</v>
      </c>
      <c r="W13" s="83">
        <v>9</v>
      </c>
      <c r="X13" s="83"/>
    </row>
    <row r="14" spans="1:24" ht="18" customHeight="1" x14ac:dyDescent="0.25">
      <c r="A14" s="139"/>
      <c r="B14" s="92" t="s">
        <v>23</v>
      </c>
      <c r="C14" s="93" t="s">
        <v>21</v>
      </c>
      <c r="D14" s="94">
        <f>IF($B$14="X",$G$5+60,DATE(1905,1,1))</f>
        <v>42516</v>
      </c>
      <c r="E14" s="94">
        <f>IF($B$14="X",páscoa+60,DATE(1905,1,1))</f>
        <v>42901</v>
      </c>
      <c r="F14" s="94">
        <f>IF($B$14="X",$G$6+60,DATE(1905,1,1))</f>
        <v>43251</v>
      </c>
      <c r="G14" s="91"/>
      <c r="V14" s="83">
        <v>10</v>
      </c>
      <c r="W14" s="83">
        <v>10</v>
      </c>
      <c r="X14" s="83"/>
    </row>
    <row r="15" spans="1:24" ht="18" customHeight="1" x14ac:dyDescent="0.25">
      <c r="A15" s="140"/>
      <c r="B15" s="95" t="s">
        <v>23</v>
      </c>
      <c r="C15" s="96" t="s">
        <v>18</v>
      </c>
      <c r="D15" s="97">
        <f>IF($B$15="X",$G$5-47,DATE(1905,1,1))</f>
        <v>42409</v>
      </c>
      <c r="E15" s="97">
        <f>IF($B$15="X",páscoa-47,DATE(1905,1,1))</f>
        <v>42794</v>
      </c>
      <c r="F15" s="97">
        <f>IF($B$15="X",$G$6-47,DATE(1905,1,1))</f>
        <v>43144</v>
      </c>
      <c r="G15" s="98" t="s">
        <v>31</v>
      </c>
      <c r="H15" s="20" t="s">
        <v>32</v>
      </c>
      <c r="V15" s="83">
        <v>11</v>
      </c>
      <c r="W15" s="83">
        <v>11</v>
      </c>
      <c r="X15" s="83"/>
    </row>
    <row r="16" spans="1:24" ht="18" customHeight="1" x14ac:dyDescent="0.25">
      <c r="A16" s="130" t="s">
        <v>30</v>
      </c>
      <c r="B16" s="99" t="s">
        <v>23</v>
      </c>
      <c r="C16" s="100" t="s">
        <v>25</v>
      </c>
      <c r="D16" s="101">
        <f>IF($B$16="X",DATE($B$2-1,$H$16,$G$16),DATE(1905,1,1))</f>
        <v>42531</v>
      </c>
      <c r="E16" s="101">
        <f>IF($B$16="X",DATE($B$2,$H$16,$G$16),DATE(1905,1,1))</f>
        <v>42896</v>
      </c>
      <c r="F16" s="101">
        <f>IF($B$16="X",DATE($B$2+1,$H$16,$G$16),DATE(1905,1,1))</f>
        <v>43261</v>
      </c>
      <c r="G16" s="102">
        <v>10</v>
      </c>
      <c r="H16" s="102">
        <v>6</v>
      </c>
      <c r="V16" s="83">
        <v>12</v>
      </c>
      <c r="W16" s="83">
        <v>12</v>
      </c>
      <c r="X16" s="83"/>
    </row>
    <row r="17" spans="1:24" ht="18" customHeight="1" x14ac:dyDescent="0.25">
      <c r="A17" s="131"/>
      <c r="B17" s="103" t="s">
        <v>23</v>
      </c>
      <c r="C17" s="104" t="s">
        <v>26</v>
      </c>
      <c r="D17" s="105">
        <f>IF($B$17="X",DATE($B$2-1,H17,G17),DATE(1905,1,1))</f>
        <v>42545</v>
      </c>
      <c r="E17" s="101">
        <f>IF($B$17="X",DATE($B$2,H17,G17),DATE(1905,1,1))</f>
        <v>42910</v>
      </c>
      <c r="F17" s="101">
        <f>IF($B$17="X",DATE($B$2+1,H17,G17),DATE(1905,1,1))</f>
        <v>43275</v>
      </c>
      <c r="G17" s="106">
        <v>24</v>
      </c>
      <c r="H17" s="106">
        <v>6</v>
      </c>
      <c r="V17" s="83"/>
      <c r="W17" s="83">
        <v>13</v>
      </c>
      <c r="X17" s="83"/>
    </row>
    <row r="18" spans="1:24" ht="18" customHeight="1" x14ac:dyDescent="0.25">
      <c r="A18" s="131"/>
      <c r="B18" s="107"/>
      <c r="C18" s="104" t="s">
        <v>27</v>
      </c>
      <c r="D18" s="105">
        <f>IF($B$18="X",DATE($B$2-1,H18,G18),DATE(1905,1,1))</f>
        <v>1828</v>
      </c>
      <c r="E18" s="101">
        <f>IF($B$18="X",DATE($B$2,H18,G18),DATE(1905,1,1))</f>
        <v>1828</v>
      </c>
      <c r="F18" s="101">
        <f>IF($B$18="X",DATE($B$2,H18,G18),DATE(1905,1,1))</f>
        <v>1828</v>
      </c>
      <c r="G18" s="106">
        <v>5</v>
      </c>
      <c r="H18" s="106">
        <v>8</v>
      </c>
      <c r="V18" s="83"/>
      <c r="W18" s="83">
        <v>14</v>
      </c>
      <c r="X18" s="83"/>
    </row>
    <row r="19" spans="1:24" ht="18" customHeight="1" x14ac:dyDescent="0.25">
      <c r="A19" s="131"/>
      <c r="B19" s="108"/>
      <c r="C19" s="109" t="s">
        <v>28</v>
      </c>
      <c r="D19" s="110">
        <f>IF($B$19="X",DATE($B$2-1,H19,G19),DATE(1905,1,1))</f>
        <v>1828</v>
      </c>
      <c r="E19" s="111">
        <f>IF($B$19="X",DATE($B$2,H19,G19),DATE(1905,1,1))</f>
        <v>1828</v>
      </c>
      <c r="F19" s="111">
        <f>IF($B$19="X",DATE($B$2+1,H19,G19),DATE(1905,1,1))</f>
        <v>1828</v>
      </c>
      <c r="G19" s="112">
        <v>10</v>
      </c>
      <c r="H19" s="112">
        <v>5</v>
      </c>
      <c r="V19" s="83"/>
      <c r="W19" s="83">
        <v>15</v>
      </c>
      <c r="X19" s="83"/>
    </row>
    <row r="20" spans="1:24" x14ac:dyDescent="0.2">
      <c r="A20" s="113"/>
      <c r="B20" s="113"/>
      <c r="V20" s="83"/>
      <c r="W20" s="83">
        <v>16</v>
      </c>
      <c r="X20" s="83"/>
    </row>
    <row r="21" spans="1:24" x14ac:dyDescent="0.2">
      <c r="A21" s="114"/>
      <c r="B21" s="114"/>
      <c r="V21" s="83"/>
      <c r="W21" s="83">
        <v>17</v>
      </c>
      <c r="X21" s="83"/>
    </row>
    <row r="22" spans="1:24" x14ac:dyDescent="0.2">
      <c r="A22" s="114"/>
      <c r="B22" s="114"/>
      <c r="V22" s="83"/>
      <c r="W22" s="83">
        <v>18</v>
      </c>
      <c r="X22" s="83"/>
    </row>
    <row r="23" spans="1:24" x14ac:dyDescent="0.2">
      <c r="A23" s="114"/>
      <c r="B23" s="114"/>
      <c r="V23" s="83"/>
      <c r="W23" s="83">
        <v>19</v>
      </c>
      <c r="X23" s="83"/>
    </row>
    <row r="24" spans="1:24" x14ac:dyDescent="0.2">
      <c r="V24" s="83"/>
      <c r="W24" s="83">
        <v>20</v>
      </c>
      <c r="X24" s="83"/>
    </row>
    <row r="25" spans="1:24" x14ac:dyDescent="0.2">
      <c r="V25" s="83"/>
      <c r="W25" s="83">
        <v>21</v>
      </c>
      <c r="X25" s="83"/>
    </row>
    <row r="26" spans="1:24" x14ac:dyDescent="0.2">
      <c r="V26" s="83"/>
      <c r="W26" s="83">
        <v>22</v>
      </c>
      <c r="X26" s="83"/>
    </row>
    <row r="27" spans="1:24" x14ac:dyDescent="0.2">
      <c r="V27" s="83"/>
      <c r="W27" s="83">
        <v>23</v>
      </c>
      <c r="X27" s="83"/>
    </row>
    <row r="28" spans="1:24" x14ac:dyDescent="0.2">
      <c r="V28" s="83"/>
      <c r="W28" s="83">
        <v>24</v>
      </c>
      <c r="X28" s="83"/>
    </row>
    <row r="29" spans="1:24" x14ac:dyDescent="0.2">
      <c r="V29" s="83"/>
      <c r="W29" s="83">
        <v>25</v>
      </c>
      <c r="X29" s="83"/>
    </row>
    <row r="30" spans="1:24" x14ac:dyDescent="0.2">
      <c r="V30" s="83"/>
      <c r="W30" s="83">
        <v>26</v>
      </c>
      <c r="X30" s="83"/>
    </row>
    <row r="31" spans="1:24" x14ac:dyDescent="0.2">
      <c r="V31" s="83"/>
      <c r="W31" s="83">
        <v>27</v>
      </c>
      <c r="X31" s="83"/>
    </row>
    <row r="32" spans="1:24" x14ac:dyDescent="0.2">
      <c r="V32" s="83"/>
      <c r="W32" s="83">
        <v>28</v>
      </c>
      <c r="X32" s="83"/>
    </row>
    <row r="33" spans="22:24" x14ac:dyDescent="0.2">
      <c r="V33" s="83"/>
      <c r="W33" s="83">
        <v>29</v>
      </c>
      <c r="X33" s="83"/>
    </row>
    <row r="34" spans="22:24" x14ac:dyDescent="0.2">
      <c r="V34" s="83"/>
      <c r="W34" s="83">
        <v>30</v>
      </c>
      <c r="X34" s="83"/>
    </row>
    <row r="35" spans="22:24" x14ac:dyDescent="0.2">
      <c r="V35" s="83"/>
      <c r="W35" s="83">
        <v>31</v>
      </c>
      <c r="X35" s="83"/>
    </row>
  </sheetData>
  <mergeCells count="6">
    <mergeCell ref="A16:A19"/>
    <mergeCell ref="A1:B1"/>
    <mergeCell ref="D1:E1"/>
    <mergeCell ref="A4:F4"/>
    <mergeCell ref="A5:A12"/>
    <mergeCell ref="A13:A15"/>
  </mergeCells>
  <conditionalFormatting sqref="D5:D19">
    <cfRule type="cellIs" dxfId="3" priority="4" operator="equal">
      <formula>$X$5</formula>
    </cfRule>
  </conditionalFormatting>
  <conditionalFormatting sqref="E5:F12">
    <cfRule type="cellIs" dxfId="2" priority="3" operator="equal">
      <formula>$X$5</formula>
    </cfRule>
  </conditionalFormatting>
  <conditionalFormatting sqref="E13:F15">
    <cfRule type="cellIs" dxfId="1" priority="2" operator="equal">
      <formula>$X$5</formula>
    </cfRule>
  </conditionalFormatting>
  <conditionalFormatting sqref="E16:F19">
    <cfRule type="cellIs" dxfId="0" priority="1" operator="equal">
      <formula>$X$5</formula>
    </cfRule>
  </conditionalFormatting>
  <dataValidations count="2">
    <dataValidation type="list" allowBlank="1" showInputMessage="1" showErrorMessage="1" sqref="H16:H19" xr:uid="{00000000-0002-0000-0100-000000000000}">
      <formula1>$V$5:$V$16</formula1>
    </dataValidation>
    <dataValidation type="list" allowBlank="1" showInputMessage="1" showErrorMessage="1" sqref="G16:G19" xr:uid="{00000000-0002-0000-0100-000001000000}">
      <formula1>$W$5:$W$35</formula1>
    </dataValidation>
  </dataValidations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14</vt:i4>
      </vt:variant>
    </vt:vector>
  </HeadingPairs>
  <TitlesOfParts>
    <vt:vector size="16" baseType="lpstr">
      <vt:lpstr>controle ponto</vt:lpstr>
      <vt:lpstr>Feriados</vt:lpstr>
      <vt:lpstr>ano_p</vt:lpstr>
      <vt:lpstr>'controle ponto'!Area_de_impressao</vt:lpstr>
      <vt:lpstr>calendário</vt:lpstr>
      <vt:lpstr>dia_f</vt:lpstr>
      <vt:lpstr>Feriados!fer</vt:lpstr>
      <vt:lpstr>fer</vt:lpstr>
      <vt:lpstr>fim</vt:lpstr>
      <vt:lpstr>FIMNOT</vt:lpstr>
      <vt:lpstr>inicio</vt:lpstr>
      <vt:lpstr>ININOT</vt:lpstr>
      <vt:lpstr>mês_p</vt:lpstr>
      <vt:lpstr>Feriados!páscoa</vt:lpstr>
      <vt:lpstr>tabela_feriados</vt:lpstr>
      <vt:lpstr>tabela_he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gilberto.braga</dc:creator>
  <cp:lastModifiedBy>Gilberto Braga</cp:lastModifiedBy>
  <cp:lastPrinted>2016-10-22T13:49:17Z</cp:lastPrinted>
  <dcterms:created xsi:type="dcterms:W3CDTF">2015-05-11T16:16:43Z</dcterms:created>
  <dcterms:modified xsi:type="dcterms:W3CDTF">2022-03-17T15:27:42Z</dcterms:modified>
</cp:coreProperties>
</file>