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Gilbeto Braga\Documents\Blog Caltrab\Restabelecendo as planilhas\Planilhas atualização 2024\"/>
    </mc:Choice>
  </mc:AlternateContent>
  <xr:revisionPtr revIDLastSave="0" documentId="13_ncr:1_{D9B39ED2-C127-4C8B-942D-76ED3E877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ole ponto" sheetId="7" r:id="rId1"/>
    <sheet name="Feriados" sheetId="3" r:id="rId2"/>
  </sheets>
  <definedNames>
    <definedName name="ano_p">'controle ponto'!$T$22</definedName>
    <definedName name="dia_f">'controle ponto'!$T$21</definedName>
    <definedName name="fer">Feriados!$D$5:$F$20</definedName>
    <definedName name="feriados_todos">Feriados!$A$1:$L$20</definedName>
    <definedName name="fim">'controle ponto'!$S$117</definedName>
    <definedName name="FIMNOT">'controle ponto'!$T$19</definedName>
    <definedName name="folgas_jornormal">'controle ponto'!$B$7:$N$38</definedName>
    <definedName name="inicio">'controle ponto'!$S$116</definedName>
    <definedName name="ININOT">'controle ponto'!$T$18</definedName>
    <definedName name="intramax">'controle ponto'!$Y$14</definedName>
    <definedName name="intramin">'controle ponto'!$Y$13</definedName>
    <definedName name="jor_contratual">'controle ponto'!$S$7:$T$23</definedName>
    <definedName name="jor_diária">'controle ponto'!$S$7:$T$16</definedName>
    <definedName name="jor_noturno">'controle ponto'!$S$17:$T$23</definedName>
    <definedName name="jornada">'controle ponto'!$R$8:$T$15</definedName>
    <definedName name="limmax">'controle ponto'!$F$122</definedName>
    <definedName name="limmin">'controle ponto'!$F$121</definedName>
    <definedName name="mês_p">'controle ponto'!$T$23</definedName>
    <definedName name="páscoa">Feriados!$C$2</definedName>
    <definedName name="quadro_horário">'controle ponto'!$E$7:$H$38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E12" i="3"/>
  <c r="D12" i="3"/>
  <c r="C41" i="7"/>
  <c r="B41" i="7"/>
  <c r="G41" i="7" s="1"/>
  <c r="E3" i="3"/>
  <c r="B2" i="3"/>
  <c r="D8" i="3" s="1"/>
  <c r="E20" i="3"/>
  <c r="D19" i="3"/>
  <c r="F19" i="3"/>
  <c r="E19" i="3"/>
  <c r="F20" i="3"/>
  <c r="D20" i="3"/>
  <c r="S116" i="7"/>
  <c r="B8" i="7" s="1"/>
  <c r="S117" i="7"/>
  <c r="E2" i="3"/>
  <c r="X5" i="3"/>
  <c r="D7" i="3"/>
  <c r="I41" i="7"/>
  <c r="H41" i="7"/>
  <c r="L42" i="7"/>
  <c r="P42" i="7"/>
  <c r="D5" i="3" l="1"/>
  <c r="D9" i="3"/>
  <c r="J41" i="7"/>
  <c r="E41" i="7"/>
  <c r="O42" i="7"/>
  <c r="B40" i="7"/>
  <c r="V8" i="7"/>
  <c r="W8" i="7"/>
  <c r="N8" i="7"/>
  <c r="O8" i="7" s="1"/>
  <c r="X8" i="7"/>
  <c r="B9" i="7"/>
  <c r="V9" i="7" s="1"/>
  <c r="D17" i="3"/>
  <c r="G5" i="3"/>
  <c r="E5" i="3"/>
  <c r="F18" i="3"/>
  <c r="F17" i="3"/>
  <c r="E18" i="3"/>
  <c r="D10" i="3"/>
  <c r="D18" i="3"/>
  <c r="E17" i="3"/>
  <c r="D6" i="3"/>
  <c r="D13" i="3"/>
  <c r="F5" i="3"/>
  <c r="D11" i="3"/>
  <c r="C2" i="3"/>
  <c r="M42" i="7"/>
  <c r="G6" i="3"/>
  <c r="F15" i="3" s="1"/>
  <c r="F41" i="7"/>
  <c r="K42" i="7"/>
  <c r="Y8" i="7"/>
  <c r="J8" i="7" s="1"/>
  <c r="F13" i="3"/>
  <c r="F10" i="3"/>
  <c r="F8" i="3"/>
  <c r="F6" i="3"/>
  <c r="E6" i="3"/>
  <c r="F9" i="3"/>
  <c r="F7" i="3"/>
  <c r="E9" i="3"/>
  <c r="E13" i="3"/>
  <c r="E10" i="3"/>
  <c r="E8" i="3"/>
  <c r="F11" i="3"/>
  <c r="E11" i="3"/>
  <c r="E7" i="3"/>
  <c r="B10" i="7" l="1"/>
  <c r="W9" i="7"/>
  <c r="X9" i="7"/>
  <c r="Y9" i="7"/>
  <c r="J9" i="7" s="1"/>
  <c r="F14" i="3"/>
  <c r="E15" i="3"/>
  <c r="E16" i="3"/>
  <c r="D14" i="3"/>
  <c r="D15" i="3"/>
  <c r="D16" i="3"/>
  <c r="E14" i="3"/>
  <c r="F16" i="3"/>
  <c r="K8" i="7"/>
  <c r="M8" i="7" s="1"/>
  <c r="X10" i="7"/>
  <c r="B11" i="7"/>
  <c r="Y10" i="7"/>
  <c r="V10" i="7"/>
  <c r="W10" i="7"/>
  <c r="C9" i="7" l="1"/>
  <c r="A9" i="7" s="1"/>
  <c r="N9" i="7" s="1"/>
  <c r="C10" i="7"/>
  <c r="A10" i="7" s="1"/>
  <c r="N10" i="7" s="1"/>
  <c r="P10" i="7" s="1"/>
  <c r="C8" i="7"/>
  <c r="A8" i="7" s="1"/>
  <c r="J10" i="7"/>
  <c r="K10" i="7" s="1"/>
  <c r="L10" i="7" s="1"/>
  <c r="P8" i="7"/>
  <c r="K9" i="7"/>
  <c r="M9" i="7" s="1"/>
  <c r="V11" i="7"/>
  <c r="W11" i="7"/>
  <c r="C11" i="7"/>
  <c r="A11" i="7" s="1"/>
  <c r="N11" i="7" s="1"/>
  <c r="P11" i="7" s="1"/>
  <c r="B12" i="7"/>
  <c r="Y11" i="7"/>
  <c r="X11" i="7"/>
  <c r="L8" i="7"/>
  <c r="I8" i="7" s="1"/>
  <c r="J11" i="7" l="1"/>
  <c r="O9" i="7"/>
  <c r="P9" i="7"/>
  <c r="L9" i="7"/>
  <c r="I9" i="7" s="1"/>
  <c r="X12" i="7"/>
  <c r="Y12" i="7"/>
  <c r="C12" i="7"/>
  <c r="V12" i="7"/>
  <c r="W12" i="7"/>
  <c r="B13" i="7"/>
  <c r="K11" i="7"/>
  <c r="M11" i="7" s="1"/>
  <c r="M10" i="7"/>
  <c r="L11" i="7" l="1"/>
  <c r="J12" i="7"/>
  <c r="K12" i="7" s="1"/>
  <c r="L12" i="7" s="1"/>
  <c r="X13" i="7"/>
  <c r="W13" i="7"/>
  <c r="C13" i="7"/>
  <c r="A13" i="7" s="1"/>
  <c r="N13" i="7" s="1"/>
  <c r="Y13" i="7"/>
  <c r="V13" i="7"/>
  <c r="B14" i="7"/>
  <c r="I11" i="7"/>
  <c r="O11" i="7"/>
  <c r="I10" i="7"/>
  <c r="O10" i="7"/>
  <c r="A12" i="7"/>
  <c r="N12" i="7" s="1"/>
  <c r="J13" i="7" l="1"/>
  <c r="K13" i="7" s="1"/>
  <c r="M13" i="7" s="1"/>
  <c r="P12" i="7"/>
  <c r="P13" i="7"/>
  <c r="M12" i="7"/>
  <c r="X14" i="7"/>
  <c r="B15" i="7"/>
  <c r="V14" i="7"/>
  <c r="C14" i="7"/>
  <c r="W14" i="7"/>
  <c r="Y14" i="7"/>
  <c r="O13" i="7" l="1"/>
  <c r="L13" i="7"/>
  <c r="I13" i="7" s="1"/>
  <c r="J14" i="7"/>
  <c r="I12" i="7"/>
  <c r="O12" i="7"/>
  <c r="A14" i="7"/>
  <c r="N14" i="7" s="1"/>
  <c r="X15" i="7"/>
  <c r="Y15" i="7"/>
  <c r="B16" i="7"/>
  <c r="W15" i="7"/>
  <c r="C15" i="7"/>
  <c r="A15" i="7" s="1"/>
  <c r="N15" i="7"/>
  <c r="O15" i="7" s="1"/>
  <c r="V15" i="7"/>
  <c r="J15" i="7" l="1"/>
  <c r="K15" i="7" s="1"/>
  <c r="M15" i="7" s="1"/>
  <c r="P15" i="7" s="1"/>
  <c r="W16" i="7"/>
  <c r="Y16" i="7"/>
  <c r="C16" i="7"/>
  <c r="A16" i="7" s="1"/>
  <c r="N16" i="7" s="1"/>
  <c r="B17" i="7"/>
  <c r="V16" i="7"/>
  <c r="X16" i="7"/>
  <c r="J16" i="7" s="1"/>
  <c r="P14" i="7"/>
  <c r="K14" i="7"/>
  <c r="M14" i="7" s="1"/>
  <c r="L15" i="7" l="1"/>
  <c r="I15" i="7" s="1"/>
  <c r="K16" i="7"/>
  <c r="M16" i="7" s="1"/>
  <c r="L16" i="7"/>
  <c r="P16" i="7"/>
  <c r="Y17" i="7"/>
  <c r="C17" i="7"/>
  <c r="A17" i="7" s="1"/>
  <c r="N17" i="7" s="1"/>
  <c r="P17" i="7" s="1"/>
  <c r="X17" i="7"/>
  <c r="B18" i="7"/>
  <c r="V17" i="7"/>
  <c r="W17" i="7"/>
  <c r="O14" i="7"/>
  <c r="L14" i="7"/>
  <c r="I14" i="7" s="1"/>
  <c r="J17" i="7" l="1"/>
  <c r="K17" i="7" s="1"/>
  <c r="M17" i="7" s="1"/>
  <c r="I16" i="7"/>
  <c r="O16" i="7"/>
  <c r="W18" i="7"/>
  <c r="B19" i="7"/>
  <c r="X18" i="7"/>
  <c r="C18" i="7"/>
  <c r="A18" i="7" s="1"/>
  <c r="N18" i="7" s="1"/>
  <c r="Y18" i="7"/>
  <c r="V18" i="7"/>
  <c r="L17" i="7" l="1"/>
  <c r="I17" i="7" s="1"/>
  <c r="J18" i="7"/>
  <c r="K18" i="7" s="1"/>
  <c r="M18" i="7" s="1"/>
  <c r="O18" i="7" s="1"/>
  <c r="X19" i="7"/>
  <c r="C19" i="7"/>
  <c r="A19" i="7" s="1"/>
  <c r="W19" i="7"/>
  <c r="N19" i="7"/>
  <c r="O19" i="7" s="1"/>
  <c r="B20" i="7"/>
  <c r="Y19" i="7"/>
  <c r="V19" i="7"/>
  <c r="P18" i="7"/>
  <c r="O17" i="7"/>
  <c r="J19" i="7" l="1"/>
  <c r="K19" i="7" s="1"/>
  <c r="M19" i="7" s="1"/>
  <c r="P19" i="7" s="1"/>
  <c r="L18" i="7"/>
  <c r="I18" i="7" s="1"/>
  <c r="W20" i="7"/>
  <c r="B21" i="7"/>
  <c r="Y20" i="7"/>
  <c r="V20" i="7"/>
  <c r="X20" i="7"/>
  <c r="C20" i="7"/>
  <c r="A20" i="7" s="1"/>
  <c r="N20" i="7" s="1"/>
  <c r="P20" i="7" s="1"/>
  <c r="J20" i="7" l="1"/>
  <c r="K20" i="7" s="1"/>
  <c r="M20" i="7" s="1"/>
  <c r="O20" i="7" s="1"/>
  <c r="V21" i="7"/>
  <c r="C21" i="7"/>
  <c r="A21" i="7" s="1"/>
  <c r="N21" i="7" s="1"/>
  <c r="P21" i="7" s="1"/>
  <c r="W21" i="7"/>
  <c r="B22" i="7"/>
  <c r="Y21" i="7"/>
  <c r="X21" i="7"/>
  <c r="L19" i="7"/>
  <c r="I19" i="7" s="1"/>
  <c r="J21" i="7" l="1"/>
  <c r="K21" i="7" s="1"/>
  <c r="M21" i="7" s="1"/>
  <c r="O21" i="7" s="1"/>
  <c r="L21" i="7"/>
  <c r="I20" i="7"/>
  <c r="W22" i="7"/>
  <c r="C22" i="7"/>
  <c r="A22" i="7" s="1"/>
  <c r="N22" i="7" s="1"/>
  <c r="Y22" i="7"/>
  <c r="B23" i="7"/>
  <c r="X22" i="7"/>
  <c r="V22" i="7"/>
  <c r="L20" i="7"/>
  <c r="I21" i="7" l="1"/>
  <c r="J22" i="7"/>
  <c r="K22" i="7" s="1"/>
  <c r="M22" i="7" s="1"/>
  <c r="P22" i="7"/>
  <c r="X23" i="7"/>
  <c r="Y23" i="7"/>
  <c r="B24" i="7"/>
  <c r="W23" i="7"/>
  <c r="C23" i="7"/>
  <c r="A23" i="7" s="1"/>
  <c r="N23" i="7" s="1"/>
  <c r="V23" i="7"/>
  <c r="J23" i="7" l="1"/>
  <c r="L22" i="7"/>
  <c r="I22" i="7" s="1"/>
  <c r="O22" i="7"/>
  <c r="K23" i="7"/>
  <c r="M23" i="7" s="1"/>
  <c r="O23" i="7" s="1"/>
  <c r="X24" i="7"/>
  <c r="B25" i="7"/>
  <c r="V24" i="7"/>
  <c r="Y24" i="7"/>
  <c r="W24" i="7"/>
  <c r="C24" i="7"/>
  <c r="A24" i="7" s="1"/>
  <c r="N24" i="7" s="1"/>
  <c r="P24" i="7" s="1"/>
  <c r="P23" i="7"/>
  <c r="J24" i="7" l="1"/>
  <c r="K24" i="7" s="1"/>
  <c r="M24" i="7" s="1"/>
  <c r="W25" i="7"/>
  <c r="Y25" i="7"/>
  <c r="C25" i="7"/>
  <c r="A25" i="7" s="1"/>
  <c r="N25" i="7" s="1"/>
  <c r="P25" i="7" s="1"/>
  <c r="V25" i="7"/>
  <c r="X25" i="7"/>
  <c r="B26" i="7"/>
  <c r="L23" i="7"/>
  <c r="I23" i="7" s="1"/>
  <c r="L24" i="7" l="1"/>
  <c r="I24" i="7" s="1"/>
  <c r="O24" i="7"/>
  <c r="J25" i="7"/>
  <c r="V26" i="7"/>
  <c r="N26" i="7"/>
  <c r="O26" i="7" s="1"/>
  <c r="W26" i="7"/>
  <c r="B27" i="7"/>
  <c r="C26" i="7"/>
  <c r="A26" i="7" s="1"/>
  <c r="Y26" i="7"/>
  <c r="X26" i="7"/>
  <c r="J26" i="7" l="1"/>
  <c r="K26" i="7" s="1"/>
  <c r="M26" i="7" s="1"/>
  <c r="P26" i="7" s="1"/>
  <c r="L26" i="7"/>
  <c r="K25" i="7"/>
  <c r="M25" i="7" s="1"/>
  <c r="W27" i="7"/>
  <c r="Y27" i="7"/>
  <c r="B28" i="7"/>
  <c r="V27" i="7"/>
  <c r="C27" i="7"/>
  <c r="A27" i="7" s="1"/>
  <c r="N27" i="7" s="1"/>
  <c r="P27" i="7" s="1"/>
  <c r="X27" i="7"/>
  <c r="I26" i="7" l="1"/>
  <c r="J27" i="7"/>
  <c r="K27" i="7"/>
  <c r="M27" i="7" s="1"/>
  <c r="O25" i="7"/>
  <c r="Y28" i="7"/>
  <c r="C28" i="7"/>
  <c r="A28" i="7" s="1"/>
  <c r="N28" i="7" s="1"/>
  <c r="P28" i="7" s="1"/>
  <c r="V28" i="7"/>
  <c r="B29" i="7"/>
  <c r="X28" i="7"/>
  <c r="W28" i="7"/>
  <c r="L25" i="7"/>
  <c r="I25" i="7" s="1"/>
  <c r="L27" i="7" l="1"/>
  <c r="J28" i="7"/>
  <c r="K28" i="7"/>
  <c r="L28" i="7"/>
  <c r="I27" i="7"/>
  <c r="O27" i="7"/>
  <c r="M28" i="7"/>
  <c r="O28" i="7" s="1"/>
  <c r="V29" i="7"/>
  <c r="W29" i="7"/>
  <c r="C29" i="7"/>
  <c r="A29" i="7" s="1"/>
  <c r="N29" i="7" s="1"/>
  <c r="P29" i="7" s="1"/>
  <c r="Y29" i="7"/>
  <c r="X29" i="7"/>
  <c r="J29" i="7" s="1"/>
  <c r="B30" i="7"/>
  <c r="K29" i="7" l="1"/>
  <c r="M29" i="7" s="1"/>
  <c r="V30" i="7"/>
  <c r="C30" i="7"/>
  <c r="A30" i="7" s="1"/>
  <c r="N30" i="7" s="1"/>
  <c r="P30" i="7" s="1"/>
  <c r="W30" i="7"/>
  <c r="J30" i="7" s="1"/>
  <c r="K30" i="7" s="1"/>
  <c r="M30" i="7" s="1"/>
  <c r="B31" i="7"/>
  <c r="Y30" i="7"/>
  <c r="X30" i="7"/>
  <c r="I28" i="7"/>
  <c r="O30" i="7" l="1"/>
  <c r="O29" i="7"/>
  <c r="I29" i="7"/>
  <c r="L30" i="7"/>
  <c r="I30" i="7" s="1"/>
  <c r="L29" i="7"/>
  <c r="Y31" i="7"/>
  <c r="V31" i="7"/>
  <c r="W31" i="7"/>
  <c r="J31" i="7" s="1"/>
  <c r="B32" i="7"/>
  <c r="C31" i="7"/>
  <c r="A31" i="7" s="1"/>
  <c r="N31" i="7" s="1"/>
  <c r="P31" i="7" s="1"/>
  <c r="X31" i="7"/>
  <c r="K31" i="7" l="1"/>
  <c r="L31" i="7" s="1"/>
  <c r="M31" i="7"/>
  <c r="V32" i="7"/>
  <c r="C32" i="7"/>
  <c r="A32" i="7" s="1"/>
  <c r="W32" i="7"/>
  <c r="N32" i="7"/>
  <c r="O32" i="7" s="1"/>
  <c r="Y32" i="7"/>
  <c r="X32" i="7"/>
  <c r="B33" i="7"/>
  <c r="I31" i="7" l="1"/>
  <c r="J32" i="7"/>
  <c r="K32" i="7"/>
  <c r="M32" i="7" s="1"/>
  <c r="P32" i="7" s="1"/>
  <c r="O31" i="7"/>
  <c r="X33" i="7"/>
  <c r="B34" i="7"/>
  <c r="V33" i="7"/>
  <c r="C33" i="7"/>
  <c r="A33" i="7" s="1"/>
  <c r="N33" i="7" s="1"/>
  <c r="P33" i="7" s="1"/>
  <c r="W33" i="7"/>
  <c r="Y33" i="7"/>
  <c r="J33" i="7" l="1"/>
  <c r="X34" i="7"/>
  <c r="W34" i="7"/>
  <c r="V34" i="7"/>
  <c r="C34" i="7"/>
  <c r="A34" i="7" s="1"/>
  <c r="N34" i="7" s="1"/>
  <c r="B35" i="7"/>
  <c r="Y34" i="7"/>
  <c r="I32" i="7"/>
  <c r="K33" i="7"/>
  <c r="M33" i="7" s="1"/>
  <c r="L32" i="7"/>
  <c r="J34" i="7" l="1"/>
  <c r="K34" i="7" s="1"/>
  <c r="M34" i="7" s="1"/>
  <c r="Y35" i="7"/>
  <c r="B36" i="7"/>
  <c r="V35" i="7"/>
  <c r="C35" i="7"/>
  <c r="A35" i="7" s="1"/>
  <c r="N35" i="7" s="1"/>
  <c r="P35" i="7" s="1"/>
  <c r="W35" i="7"/>
  <c r="X35" i="7"/>
  <c r="O33" i="7"/>
  <c r="P34" i="7"/>
  <c r="L33" i="7"/>
  <c r="I33" i="7" s="1"/>
  <c r="L34" i="7" l="1"/>
  <c r="J35" i="7"/>
  <c r="K35" i="7"/>
  <c r="L35" i="7" s="1"/>
  <c r="I34" i="7"/>
  <c r="O34" i="7"/>
  <c r="V36" i="7"/>
  <c r="W36" i="7"/>
  <c r="J36" i="7" s="1"/>
  <c r="B37" i="7"/>
  <c r="Y36" i="7"/>
  <c r="X36" i="7"/>
  <c r="C36" i="7"/>
  <c r="A36" i="7" s="1"/>
  <c r="N36" i="7" s="1"/>
  <c r="Y37" i="7" l="1"/>
  <c r="C37" i="7"/>
  <c r="A37" i="7" s="1"/>
  <c r="V37" i="7"/>
  <c r="N37" i="7"/>
  <c r="O37" i="7" s="1"/>
  <c r="W37" i="7"/>
  <c r="B38" i="7"/>
  <c r="X37" i="7"/>
  <c r="K36" i="7"/>
  <c r="M36" i="7" s="1"/>
  <c r="P36" i="7"/>
  <c r="M35" i="7"/>
  <c r="J37" i="7" l="1"/>
  <c r="K37" i="7" s="1"/>
  <c r="O36" i="7"/>
  <c r="I35" i="7"/>
  <c r="O35" i="7"/>
  <c r="L36" i="7"/>
  <c r="I36" i="7" s="1"/>
  <c r="V38" i="7"/>
  <c r="W38" i="7"/>
  <c r="J38" i="7"/>
  <c r="X38" i="7"/>
  <c r="M38" i="7" s="1"/>
  <c r="C38" i="7"/>
  <c r="E40" i="7" s="1"/>
  <c r="Y38" i="7"/>
  <c r="K38" i="7"/>
  <c r="L38" i="7" s="1"/>
  <c r="C40" i="7"/>
  <c r="M37" i="7" l="1"/>
  <c r="I37" i="7" s="1"/>
  <c r="L37" i="7"/>
  <c r="M39" i="7"/>
  <c r="M40" i="7" s="1"/>
  <c r="I38" i="7"/>
  <c r="A38" i="7"/>
  <c r="N38" i="7" s="1"/>
  <c r="L39" i="7"/>
  <c r="L40" i="7" s="1"/>
  <c r="G40" i="7"/>
  <c r="P37" i="7"/>
  <c r="F40" i="7"/>
  <c r="O38" i="7" l="1"/>
  <c r="O39" i="7" s="1"/>
  <c r="O40" i="7" s="1"/>
  <c r="P38" i="7"/>
  <c r="P39" i="7" s="1"/>
  <c r="P40" i="7" s="1"/>
  <c r="I40" i="7"/>
  <c r="H40" i="7" s="1"/>
  <c r="P41" i="7" l="1"/>
  <c r="J40" i="7"/>
  <c r="O41" i="7"/>
  <c r="L4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Gilberto</author>
  </authors>
  <commentList>
    <comment ref="T2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Gilberto:</t>
        </r>
        <r>
          <rPr>
            <sz val="9"/>
            <color indexed="81"/>
            <rFont val="Segoe UI"/>
            <family val="2"/>
          </rPr>
          <t xml:space="preserve">
Selecionar o ano</t>
        </r>
      </text>
    </comment>
    <comment ref="T2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Gilberto:</t>
        </r>
        <r>
          <rPr>
            <sz val="9"/>
            <color indexed="81"/>
            <rFont val="Segoe UI"/>
            <family val="2"/>
          </rPr>
          <t xml:space="preserve">
Selecionar o mês.</t>
        </r>
      </text>
    </comment>
  </commentList>
</comments>
</file>

<file path=xl/sharedStrings.xml><?xml version="1.0" encoding="utf-8"?>
<sst xmlns="http://schemas.openxmlformats.org/spreadsheetml/2006/main" count="102" uniqueCount="72">
  <si>
    <t>CARTÃO PONTO ESPELHO</t>
  </si>
  <si>
    <t xml:space="preserve">Data </t>
  </si>
  <si>
    <t>Dia Semana</t>
  </si>
  <si>
    <t>Folgas</t>
  </si>
  <si>
    <t>Entrada</t>
  </si>
  <si>
    <t>Saída</t>
  </si>
  <si>
    <t>Horas Diurnas</t>
  </si>
  <si>
    <t>H. Not. s/ red.</t>
  </si>
  <si>
    <t>Hora Ficta</t>
  </si>
  <si>
    <t>Horas Noturnas</t>
  </si>
  <si>
    <t>H. Trab.</t>
  </si>
  <si>
    <t>H. Normais</t>
  </si>
  <si>
    <t>H. Extras</t>
  </si>
  <si>
    <t>HE 100%</t>
  </si>
  <si>
    <t>JORNADA CONTRATUAL</t>
  </si>
  <si>
    <t>F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</si>
  <si>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</si>
  <si>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</si>
  <si>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</si>
  <si>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</si>
  <si>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</si>
  <si>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</si>
  <si>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</si>
  <si>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Feriados</t>
  </si>
  <si>
    <t>HORÁRIO NOTURNO</t>
  </si>
  <si>
    <t>Início</t>
  </si>
  <si>
    <t>Término</t>
  </si>
  <si>
    <t>FECHAMENTO DO PONTO</t>
  </si>
  <si>
    <t>Dia do fechamento do ponto:</t>
  </si>
  <si>
    <t>Selecione o ano :</t>
  </si>
  <si>
    <t>Selecione o mês :</t>
  </si>
  <si>
    <t>fer</t>
  </si>
  <si>
    <t>dom</t>
  </si>
  <si>
    <t>mês</t>
  </si>
  <si>
    <t>dias úteis</t>
  </si>
  <si>
    <t>repousos</t>
  </si>
  <si>
    <t>dsr</t>
  </si>
  <si>
    <t>Total:</t>
  </si>
  <si>
    <t>Decimal:</t>
  </si>
  <si>
    <t>Dsr:</t>
  </si>
  <si>
    <t>Data de início:</t>
  </si>
  <si>
    <t>Data final:</t>
  </si>
  <si>
    <t>Meses</t>
  </si>
  <si>
    <t>Anos</t>
  </si>
  <si>
    <t>Ano</t>
  </si>
  <si>
    <t>Páscoa</t>
  </si>
  <si>
    <t>Horário Noturno</t>
  </si>
  <si>
    <t>Início:</t>
  </si>
  <si>
    <t>Fim:</t>
  </si>
  <si>
    <t>Feriados Nacionais, Municipais e Estadual</t>
  </si>
  <si>
    <t>Feriados Nacionais</t>
  </si>
  <si>
    <t>x</t>
  </si>
  <si>
    <t>Ano Novo</t>
  </si>
  <si>
    <t>Tiradentes</t>
  </si>
  <si>
    <t>Dia do Trabalho</t>
  </si>
  <si>
    <t>Independência</t>
  </si>
  <si>
    <t>Padroeira do Brasil</t>
  </si>
  <si>
    <t>Finados</t>
  </si>
  <si>
    <t>Proclamação da República</t>
  </si>
  <si>
    <t>Natal</t>
  </si>
  <si>
    <t>Móveis</t>
  </si>
  <si>
    <t>Sexta-Feira Santa</t>
  </si>
  <si>
    <t>Corpus Christi</t>
  </si>
  <si>
    <t>Terça-Feira de Carnaval</t>
  </si>
  <si>
    <t>DIA</t>
  </si>
  <si>
    <t>MÊS</t>
  </si>
  <si>
    <t>Fixos</t>
  </si>
  <si>
    <t>Feriado 1</t>
  </si>
  <si>
    <t>Feriado 2</t>
  </si>
  <si>
    <t>Feriado 3</t>
  </si>
  <si>
    <t>Feriado 4</t>
  </si>
  <si>
    <t>Zumbi e Consciência Negra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</si>
</sst>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[hh]:mm"/>
    <numFmt numFmtId="166" formatCode="00&quot;:&quot;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4"/>
      <color theme="5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Calibri"/>
      <family val="2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0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4" borderId="0" applyNumberFormat="0" applyBorder="0" applyAlignment="0" applyProtection="0"/>
  </cellStyleXfs>
  <cellXfs count="186">
    <xf numFmtId="0" fontId="0" fillId="0" borderId="0" xfId="0"/>
    <xf numFmtId="0" fontId="5" fillId="0" borderId="0" xfId="0" quotePrefix="1" applyFont="1" applyAlignment="1">
      <alignment vertical="center"/>
    </xf>
    <xf numFmtId="0" fontId="0" fillId="2" borderId="0" xfId="0" applyFill="1"/>
    <xf numFmtId="0" fontId="6" fillId="2" borderId="0" xfId="0" applyFont="1" applyFill="1"/>
    <xf numFmtId="0" fontId="7" fillId="0" borderId="0" xfId="0" quotePrefix="1" applyFont="1"/>
    <xf numFmtId="0" fontId="3" fillId="0" borderId="0" xfId="0" applyFont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4" fontId="6" fillId="0" borderId="0" xfId="0" quotePrefix="1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0" fillId="0" borderId="17" xfId="0" applyBorder="1" applyAlignment="1">
      <alignment horizontal="center"/>
    </xf>
    <xf numFmtId="0" fontId="2" fillId="5" borderId="2" xfId="2" applyBorder="1" applyAlignment="1">
      <alignment horizontal="left" indent="1"/>
    </xf>
    <xf numFmtId="0" fontId="2" fillId="6" borderId="1" xfId="3" applyBorder="1" applyAlignment="1">
      <alignment horizontal="left" indent="1"/>
    </xf>
    <xf numFmtId="0" fontId="2" fillId="6" borderId="2" xfId="3" applyBorder="1" applyAlignment="1">
      <alignment horizontal="left" indent="1"/>
    </xf>
    <xf numFmtId="0" fontId="12" fillId="7" borderId="1" xfId="4" applyFont="1" applyBorder="1" applyAlignment="1">
      <alignment horizontal="left" indent="1"/>
    </xf>
    <xf numFmtId="0" fontId="12" fillId="7" borderId="2" xfId="4" applyFont="1" applyBorder="1" applyAlignment="1">
      <alignment horizontal="left" indent="1"/>
    </xf>
    <xf numFmtId="14" fontId="12" fillId="7" borderId="2" xfId="4" applyNumberFormat="1" applyFont="1" applyBorder="1"/>
    <xf numFmtId="0" fontId="12" fillId="7" borderId="1" xfId="4" applyFont="1" applyBorder="1" applyAlignment="1">
      <alignment horizontal="center"/>
    </xf>
    <xf numFmtId="0" fontId="12" fillId="7" borderId="2" xfId="4" applyFont="1" applyBorder="1" applyAlignment="1">
      <alignment horizontal="center"/>
    </xf>
    <xf numFmtId="0" fontId="2" fillId="5" borderId="2" xfId="2" applyBorder="1" applyAlignment="1">
      <alignment horizontal="center"/>
    </xf>
    <xf numFmtId="0" fontId="2" fillId="6" borderId="2" xfId="3" applyBorder="1" applyAlignment="1">
      <alignment horizontal="center" vertical="center"/>
    </xf>
    <xf numFmtId="0" fontId="12" fillId="7" borderId="4" xfId="4" applyFont="1" applyBorder="1" applyAlignment="1">
      <alignment horizontal="center"/>
    </xf>
    <xf numFmtId="0" fontId="12" fillId="7" borderId="4" xfId="4" applyFont="1" applyBorder="1" applyAlignment="1">
      <alignment horizontal="left" indent="1"/>
    </xf>
    <xf numFmtId="14" fontId="12" fillId="7" borderId="4" xfId="4" applyNumberFormat="1" applyFont="1" applyBorder="1"/>
    <xf numFmtId="0" fontId="2" fillId="6" borderId="1" xfId="3" applyBorder="1" applyAlignment="1">
      <alignment horizontal="center"/>
    </xf>
    <xf numFmtId="0" fontId="2" fillId="6" borderId="4" xfId="3" applyBorder="1" applyAlignment="1">
      <alignment horizontal="center"/>
    </xf>
    <xf numFmtId="0" fontId="2" fillId="6" borderId="4" xfId="3" applyBorder="1" applyAlignment="1">
      <alignment horizontal="left" indent="1"/>
    </xf>
    <xf numFmtId="0" fontId="2" fillId="5" borderId="12" xfId="2" applyBorder="1" applyAlignment="1">
      <alignment horizontal="center"/>
    </xf>
    <xf numFmtId="0" fontId="2" fillId="5" borderId="12" xfId="2" applyBorder="1" applyAlignment="1">
      <alignment horizontal="left" indent="1"/>
    </xf>
    <xf numFmtId="0" fontId="2" fillId="5" borderId="8" xfId="2" applyBorder="1" applyAlignment="1">
      <alignment horizontal="center"/>
    </xf>
    <xf numFmtId="0" fontId="2" fillId="5" borderId="9" xfId="2" applyBorder="1" applyAlignment="1">
      <alignment horizontal="center"/>
    </xf>
    <xf numFmtId="0" fontId="2" fillId="5" borderId="4" xfId="2" applyBorder="1" applyAlignment="1">
      <alignment horizontal="left" indent="1"/>
    </xf>
    <xf numFmtId="0" fontId="2" fillId="5" borderId="10" xfId="2" applyBorder="1" applyAlignment="1">
      <alignment horizontal="center"/>
    </xf>
    <xf numFmtId="0" fontId="12" fillId="7" borderId="3" xfId="4" applyFont="1" applyBorder="1" applyAlignment="1">
      <alignment horizontal="center" vertical="center"/>
    </xf>
    <xf numFmtId="0" fontId="9" fillId="5" borderId="16" xfId="2" applyFont="1" applyBorder="1" applyAlignment="1">
      <alignment horizontal="centerContinuous"/>
    </xf>
    <xf numFmtId="0" fontId="9" fillId="5" borderId="14" xfId="2" applyFont="1" applyBorder="1"/>
    <xf numFmtId="0" fontId="13" fillId="0" borderId="0" xfId="0" applyFont="1"/>
    <xf numFmtId="14" fontId="13" fillId="0" borderId="0" xfId="0" applyNumberFormat="1" applyFont="1"/>
    <xf numFmtId="14" fontId="14" fillId="0" borderId="1" xfId="0" applyNumberFormat="1" applyFont="1" applyBorder="1"/>
    <xf numFmtId="164" fontId="14" fillId="0" borderId="1" xfId="0" applyNumberFormat="1" applyFont="1" applyBorder="1" applyAlignment="1">
      <alignment horizontal="right"/>
    </xf>
    <xf numFmtId="20" fontId="14" fillId="0" borderId="1" xfId="0" applyNumberFormat="1" applyFont="1" applyBorder="1"/>
    <xf numFmtId="20" fontId="14" fillId="0" borderId="1" xfId="0" quotePrefix="1" applyNumberFormat="1" applyFont="1" applyBorder="1" applyAlignment="1">
      <alignment horizontal="center"/>
    </xf>
    <xf numFmtId="20" fontId="14" fillId="0" borderId="1" xfId="0" quotePrefix="1" applyNumberFormat="1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/>
    </xf>
    <xf numFmtId="14" fontId="14" fillId="0" borderId="2" xfId="0" applyNumberFormat="1" applyFont="1" applyBorder="1"/>
    <xf numFmtId="164" fontId="14" fillId="0" borderId="2" xfId="0" applyNumberFormat="1" applyFont="1" applyBorder="1" applyAlignment="1">
      <alignment horizontal="right"/>
    </xf>
    <xf numFmtId="20" fontId="14" fillId="0" borderId="2" xfId="0" applyNumberFormat="1" applyFont="1" applyBorder="1"/>
    <xf numFmtId="20" fontId="14" fillId="0" borderId="2" xfId="0" quotePrefix="1" applyNumberFormat="1" applyFont="1" applyBorder="1" applyAlignment="1">
      <alignment horizontal="center"/>
    </xf>
    <xf numFmtId="20" fontId="14" fillId="0" borderId="2" xfId="0" applyNumberFormat="1" applyFont="1" applyBorder="1" applyAlignment="1">
      <alignment horizontal="center"/>
    </xf>
    <xf numFmtId="14" fontId="14" fillId="0" borderId="4" xfId="0" applyNumberFormat="1" applyFont="1" applyBorder="1"/>
    <xf numFmtId="164" fontId="14" fillId="0" borderId="4" xfId="0" applyNumberFormat="1" applyFont="1" applyBorder="1" applyAlignment="1">
      <alignment horizontal="right"/>
    </xf>
    <xf numFmtId="20" fontId="14" fillId="0" borderId="4" xfId="0" applyNumberFormat="1" applyFont="1" applyBorder="1"/>
    <xf numFmtId="20" fontId="14" fillId="0" borderId="4" xfId="0" quotePrefix="1" applyNumberFormat="1" applyFont="1" applyBorder="1" applyAlignment="1">
      <alignment horizontal="center"/>
    </xf>
    <xf numFmtId="20" fontId="14" fillId="0" borderId="4" xfId="0" applyNumberFormat="1" applyFont="1" applyBorder="1" applyAlignment="1">
      <alignment horizontal="center"/>
    </xf>
    <xf numFmtId="0" fontId="16" fillId="10" borderId="1" xfId="4" applyFont="1" applyFill="1" applyBorder="1" applyAlignment="1">
      <alignment horizontal="right" vertical="center" indent="1"/>
    </xf>
    <xf numFmtId="0" fontId="0" fillId="11" borderId="21" xfId="0" applyFill="1" applyBorder="1"/>
    <xf numFmtId="0" fontId="0" fillId="11" borderId="22" xfId="0" applyFill="1" applyBorder="1"/>
    <xf numFmtId="0" fontId="0" fillId="11" borderId="18" xfId="0" applyFill="1" applyBorder="1"/>
    <xf numFmtId="0" fontId="11" fillId="11" borderId="2" xfId="0" applyFont="1" applyFill="1" applyBorder="1" applyAlignment="1">
      <alignment horizontal="right" vertical="center" indent="1"/>
    </xf>
    <xf numFmtId="0" fontId="11" fillId="11" borderId="4" xfId="0" applyFont="1" applyFill="1" applyBorder="1" applyAlignment="1">
      <alignment horizontal="right" vertical="center" indent="1"/>
    </xf>
    <xf numFmtId="20" fontId="11" fillId="11" borderId="2" xfId="0" applyNumberFormat="1" applyFont="1" applyFill="1" applyBorder="1" applyAlignment="1">
      <alignment horizontal="right" vertical="center" indent="1"/>
    </xf>
    <xf numFmtId="20" fontId="11" fillId="11" borderId="4" xfId="0" applyNumberFormat="1" applyFont="1" applyFill="1" applyBorder="1" applyAlignment="1">
      <alignment horizontal="right" vertical="center" indent="1"/>
    </xf>
    <xf numFmtId="0" fontId="15" fillId="9" borderId="3" xfId="0" applyFont="1" applyFill="1" applyBorder="1" applyAlignment="1">
      <alignment horizontal="center"/>
    </xf>
    <xf numFmtId="14" fontId="15" fillId="8" borderId="3" xfId="0" applyNumberFormat="1" applyFont="1" applyFill="1" applyBorder="1"/>
    <xf numFmtId="0" fontId="15" fillId="0" borderId="3" xfId="0" quotePrefix="1" applyFont="1" applyBorder="1"/>
    <xf numFmtId="0" fontId="15" fillId="0" borderId="3" xfId="0" applyFont="1" applyBorder="1"/>
    <xf numFmtId="2" fontId="17" fillId="0" borderId="3" xfId="0" applyNumberFormat="1" applyFont="1" applyBorder="1"/>
    <xf numFmtId="0" fontId="15" fillId="9" borderId="3" xfId="0" applyFont="1" applyFill="1" applyBorder="1" applyAlignment="1">
      <alignment horizontal="right"/>
    </xf>
    <xf numFmtId="0" fontId="15" fillId="9" borderId="7" xfId="0" applyFont="1" applyFill="1" applyBorder="1" applyAlignment="1">
      <alignment horizontal="right"/>
    </xf>
    <xf numFmtId="0" fontId="15" fillId="0" borderId="6" xfId="0" applyFont="1" applyBorder="1"/>
    <xf numFmtId="0" fontId="15" fillId="9" borderId="6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right"/>
    </xf>
    <xf numFmtId="165" fontId="17" fillId="0" borderId="3" xfId="0" applyNumberFormat="1" applyFont="1" applyBorder="1"/>
    <xf numFmtId="20" fontId="15" fillId="0" borderId="3" xfId="0" applyNumberFormat="1" applyFont="1" applyBorder="1" applyAlignment="1">
      <alignment horizontal="center"/>
    </xf>
    <xf numFmtId="0" fontId="15" fillId="9" borderId="20" xfId="0" applyFont="1" applyFill="1" applyBorder="1" applyAlignment="1">
      <alignment horizontal="right"/>
    </xf>
    <xf numFmtId="0" fontId="15" fillId="9" borderId="19" xfId="0" applyFont="1" applyFill="1" applyBorder="1" applyAlignment="1">
      <alignment horizontal="right"/>
    </xf>
    <xf numFmtId="20" fontId="14" fillId="0" borderId="1" xfId="0" quotePrefix="1" applyNumberFormat="1" applyFont="1" applyBorder="1"/>
    <xf numFmtId="0" fontId="15" fillId="9" borderId="6" xfId="0" applyFont="1" applyFill="1" applyBorder="1" applyAlignment="1">
      <alignment horizontal="right"/>
    </xf>
    <xf numFmtId="20" fontId="14" fillId="0" borderId="2" xfId="0" quotePrefix="1" applyNumberFormat="1" applyFont="1" applyBorder="1"/>
    <xf numFmtId="0" fontId="6" fillId="0" borderId="0" xfId="0" applyFont="1"/>
    <xf numFmtId="14" fontId="0" fillId="0" borderId="0" xfId="0" applyNumberFormat="1"/>
    <xf numFmtId="0" fontId="3" fillId="0" borderId="0" xfId="0" applyFont="1" applyAlignment="1">
      <alignment vertical="center"/>
    </xf>
    <xf numFmtId="0" fontId="15" fillId="0" borderId="0" xfId="0" applyFont="1"/>
    <xf numFmtId="0" fontId="3" fillId="0" borderId="0" xfId="0" applyFont="1" applyAlignment="1">
      <alignment horizontal="center"/>
    </xf>
    <xf numFmtId="0" fontId="20" fillId="0" borderId="0" xfId="0" quotePrefix="1" applyFont="1" applyAlignment="1">
      <alignment vertical="center"/>
    </xf>
    <xf numFmtId="14" fontId="21" fillId="0" borderId="0" xfId="0" applyNumberFormat="1" applyFont="1"/>
    <xf numFmtId="0" fontId="17" fillId="0" borderId="0" xfId="0" applyFont="1" applyAlignment="1">
      <alignment horizontal="center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20" fontId="14" fillId="0" borderId="4" xfId="0" quotePrefix="1" applyNumberFormat="1" applyFont="1" applyBorder="1"/>
    <xf numFmtId="14" fontId="12" fillId="7" borderId="1" xfId="4" quotePrefix="1" applyNumberFormat="1" applyFont="1" applyBorder="1"/>
    <xf numFmtId="14" fontId="9" fillId="5" borderId="4" xfId="2" quotePrefix="1" applyNumberFormat="1" applyFont="1" applyBorder="1" applyAlignment="1">
      <alignment horizontal="right" indent="1"/>
    </xf>
    <xf numFmtId="14" fontId="1" fillId="6" borderId="1" xfId="3" quotePrefix="1" applyNumberFormat="1" applyFont="1" applyBorder="1"/>
    <xf numFmtId="14" fontId="1" fillId="6" borderId="2" xfId="3" quotePrefix="1" applyNumberFormat="1" applyFont="1" applyBorder="1"/>
    <xf numFmtId="14" fontId="1" fillId="6" borderId="4" xfId="3" quotePrefix="1" applyNumberFormat="1" applyFont="1" applyBorder="1"/>
    <xf numFmtId="14" fontId="1" fillId="5" borderId="12" xfId="2" quotePrefix="1" applyNumberFormat="1" applyFont="1" applyBorder="1"/>
    <xf numFmtId="14" fontId="1" fillId="5" borderId="2" xfId="2" quotePrefix="1" applyNumberFormat="1" applyFont="1" applyBorder="1"/>
    <xf numFmtId="14" fontId="1" fillId="5" borderId="14" xfId="2" quotePrefix="1" applyNumberFormat="1" applyFont="1" applyBorder="1"/>
    <xf numFmtId="0" fontId="0" fillId="0" borderId="0" xfId="0" applyAlignment="1">
      <alignment vertical="center"/>
    </xf>
    <xf numFmtId="0" fontId="12" fillId="7" borderId="7" xfId="4" applyFont="1" applyBorder="1" applyAlignment="1">
      <alignment horizontal="center" vertical="center"/>
    </xf>
    <xf numFmtId="14" fontId="12" fillId="7" borderId="2" xfId="4" quotePrefix="1" applyNumberFormat="1" applyFont="1" applyBorder="1"/>
    <xf numFmtId="14" fontId="12" fillId="7" borderId="4" xfId="4" quotePrefix="1" applyNumberFormat="1" applyFont="1" applyBorder="1"/>
    <xf numFmtId="14" fontId="1" fillId="5" borderId="10" xfId="2" quotePrefix="1" applyNumberFormat="1" applyFont="1" applyBorder="1"/>
    <xf numFmtId="14" fontId="13" fillId="0" borderId="0" xfId="0" applyNumberFormat="1" applyFont="1" applyAlignment="1">
      <alignment horizontal="left" indent="1"/>
    </xf>
    <xf numFmtId="20" fontId="14" fillId="0" borderId="0" xfId="0" applyNumberFormat="1" applyFont="1" applyAlignment="1">
      <alignment horizontal="center"/>
    </xf>
    <xf numFmtId="165" fontId="17" fillId="0" borderId="0" xfId="0" applyNumberFormat="1" applyFont="1"/>
    <xf numFmtId="2" fontId="17" fillId="0" borderId="0" xfId="0" applyNumberFormat="1" applyFont="1"/>
    <xf numFmtId="0" fontId="17" fillId="0" borderId="5" xfId="0" applyFont="1" applyBorder="1" applyAlignment="1" applyProtection="1">
      <alignment horizontal="center" vertical="center" wrapText="1"/>
      <protection locked="0"/>
    </xf>
    <xf numFmtId="20" fontId="14" fillId="0" borderId="3" xfId="0" applyNumberFormat="1" applyFont="1" applyBorder="1" applyAlignment="1">
      <alignment horizontal="center"/>
    </xf>
    <xf numFmtId="20" fontId="14" fillId="8" borderId="1" xfId="0" applyNumberFormat="1" applyFont="1" applyFill="1" applyBorder="1" applyAlignment="1">
      <alignment horizontal="left" vertical="center" indent="1"/>
    </xf>
    <xf numFmtId="20" fontId="14" fillId="8" borderId="2" xfId="0" applyNumberFormat="1" applyFont="1" applyFill="1" applyBorder="1" applyAlignment="1">
      <alignment horizontal="left" vertical="center" indent="1"/>
    </xf>
    <xf numFmtId="20" fontId="14" fillId="8" borderId="4" xfId="0" applyNumberFormat="1" applyFont="1" applyFill="1" applyBorder="1" applyAlignment="1">
      <alignment horizontal="left" vertical="center" indent="1"/>
    </xf>
    <xf numFmtId="20" fontId="14" fillId="12" borderId="3" xfId="0" applyNumberFormat="1" applyFont="1" applyFill="1" applyBorder="1" applyAlignment="1">
      <alignment horizontal="center"/>
    </xf>
    <xf numFmtId="20" fontId="14" fillId="11" borderId="1" xfId="0" applyNumberFormat="1" applyFont="1" applyFill="1" applyBorder="1" applyAlignment="1">
      <alignment horizontal="center"/>
    </xf>
    <xf numFmtId="20" fontId="14" fillId="11" borderId="2" xfId="0" applyNumberFormat="1" applyFont="1" applyFill="1" applyBorder="1" applyAlignment="1">
      <alignment horizontal="center"/>
    </xf>
    <xf numFmtId="20" fontId="14" fillId="11" borderId="4" xfId="0" applyNumberFormat="1" applyFont="1" applyFill="1" applyBorder="1" applyAlignment="1">
      <alignment horizontal="center"/>
    </xf>
    <xf numFmtId="164" fontId="14" fillId="8" borderId="2" xfId="0" applyNumberFormat="1" applyFont="1" applyFill="1" applyBorder="1" applyAlignment="1">
      <alignment horizontal="left" vertical="center" indent="1"/>
    </xf>
    <xf numFmtId="164" fontId="14" fillId="8" borderId="13" xfId="0" applyNumberFormat="1" applyFont="1" applyFill="1" applyBorder="1" applyAlignment="1">
      <alignment horizontal="left" vertical="center" indent="1"/>
    </xf>
    <xf numFmtId="20" fontId="14" fillId="0" borderId="5" xfId="0" applyNumberFormat="1" applyFont="1" applyBorder="1" applyAlignment="1">
      <alignment horizont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2" fillId="13" borderId="1" xfId="0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center" vertical="center"/>
    </xf>
    <xf numFmtId="0" fontId="15" fillId="0" borderId="11" xfId="0" applyFont="1" applyBorder="1"/>
    <xf numFmtId="0" fontId="14" fillId="0" borderId="2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19" fillId="0" borderId="0" xfId="0" applyFont="1" applyAlignment="1">
      <alignment horizontal="center" vertical="center"/>
    </xf>
    <xf numFmtId="20" fontId="14" fillId="8" borderId="1" xfId="0" applyNumberFormat="1" applyFont="1" applyFill="1" applyBorder="1" applyAlignment="1">
      <alignment horizontal="right" vertical="center" indent="1"/>
    </xf>
    <xf numFmtId="20" fontId="14" fillId="8" borderId="4" xfId="0" applyNumberFormat="1" applyFont="1" applyFill="1" applyBorder="1" applyAlignment="1">
      <alignment horizontal="right" vertical="center" indent="1"/>
    </xf>
    <xf numFmtId="20" fontId="14" fillId="8" borderId="3" xfId="0" applyNumberFormat="1" applyFont="1" applyFill="1" applyBorder="1" applyAlignment="1">
      <alignment horizontal="center"/>
    </xf>
    <xf numFmtId="14" fontId="15" fillId="12" borderId="3" xfId="0" applyNumberFormat="1" applyFont="1" applyFill="1" applyBorder="1" applyAlignment="1">
      <alignment horizontal="right"/>
    </xf>
    <xf numFmtId="14" fontId="15" fillId="12" borderId="7" xfId="0" applyNumberFormat="1" applyFont="1" applyFill="1" applyBorder="1"/>
    <xf numFmtId="0" fontId="17" fillId="0" borderId="0" xfId="0" applyFont="1" applyAlignment="1">
      <alignment vertical="center"/>
    </xf>
    <xf numFmtId="0" fontId="15" fillId="0" borderId="0" xfId="0" applyFont="1" applyAlignment="1">
      <alignment horizontal="right"/>
    </xf>
    <xf numFmtId="2" fontId="17" fillId="0" borderId="17" xfId="0" applyNumberFormat="1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3" fillId="0" borderId="0" xfId="0" applyFont="1"/>
    <xf numFmtId="0" fontId="6" fillId="2" borderId="0" xfId="0" applyFont="1" applyFill="1" applyAlignment="1">
      <alignment horizontal="right" indent="1"/>
    </xf>
    <xf numFmtId="166" fontId="14" fillId="12" borderId="1" xfId="0" applyNumberFormat="1" applyFont="1" applyFill="1" applyBorder="1" applyProtection="1">
      <protection locked="0"/>
    </xf>
    <xf numFmtId="166" fontId="14" fillId="12" borderId="2" xfId="0" applyNumberFormat="1" applyFont="1" applyFill="1" applyBorder="1" applyProtection="1">
      <protection locked="0"/>
    </xf>
    <xf numFmtId="166" fontId="14" fillId="12" borderId="4" xfId="0" applyNumberFormat="1" applyFont="1" applyFill="1" applyBorder="1" applyProtection="1">
      <protection locked="0"/>
    </xf>
    <xf numFmtId="20" fontId="15" fillId="0" borderId="1" xfId="0" applyNumberFormat="1" applyFont="1" applyBorder="1"/>
    <xf numFmtId="20" fontId="15" fillId="0" borderId="1" xfId="0" quotePrefix="1" applyNumberFormat="1" applyFont="1" applyBorder="1"/>
    <xf numFmtId="20" fontId="15" fillId="0" borderId="3" xfId="0" applyNumberFormat="1" applyFont="1" applyBorder="1"/>
    <xf numFmtId="20" fontId="15" fillId="0" borderId="3" xfId="0" quotePrefix="1" applyNumberFormat="1" applyFont="1" applyBorder="1"/>
    <xf numFmtId="20" fontId="14" fillId="0" borderId="4" xfId="0" quotePrefix="1" applyNumberFormat="1" applyFont="1" applyBorder="1" applyAlignment="1">
      <alignment horizontal="center" vertical="center"/>
    </xf>
    <xf numFmtId="20" fontId="14" fillId="0" borderId="2" xfId="0" quotePrefix="1" applyNumberFormat="1" applyFont="1" applyBorder="1" applyAlignment="1">
      <alignment horizontal="center" vertical="center"/>
    </xf>
    <xf numFmtId="20" fontId="14" fillId="8" borderId="3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11" borderId="18" xfId="5" applyFont="1" applyFill="1" applyBorder="1" applyProtection="1">
      <protection locked="0"/>
    </xf>
    <xf numFmtId="0" fontId="27" fillId="11" borderId="3" xfId="5" applyFont="1" applyFill="1" applyBorder="1" applyProtection="1">
      <protection locked="0"/>
    </xf>
    <xf numFmtId="0" fontId="1" fillId="5" borderId="2" xfId="2" applyFont="1" applyBorder="1" applyAlignment="1">
      <alignment horizontal="center"/>
    </xf>
    <xf numFmtId="0" fontId="1" fillId="5" borderId="13" xfId="2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0" xfId="0" applyAlignment="1">
      <alignment horizontal="left" vertical="center" indent="1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15" fillId="15" borderId="24" xfId="0" quotePrefix="1" applyFon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11" fillId="7" borderId="1" xfId="4" applyFont="1" applyBorder="1" applyAlignment="1">
      <alignment horizontal="center" vertical="center" textRotation="90"/>
    </xf>
    <xf numFmtId="0" fontId="11" fillId="7" borderId="2" xfId="4" applyFont="1" applyBorder="1" applyAlignment="1">
      <alignment horizontal="center" vertical="center" textRotation="90"/>
    </xf>
    <xf numFmtId="0" fontId="11" fillId="7" borderId="4" xfId="4" applyFont="1" applyBorder="1" applyAlignment="1">
      <alignment horizontal="center" vertical="center" textRotation="90"/>
    </xf>
    <xf numFmtId="0" fontId="11" fillId="6" borderId="1" xfId="3" applyFont="1" applyBorder="1" applyAlignment="1">
      <alignment horizontal="center" vertical="center" textRotation="90"/>
    </xf>
    <xf numFmtId="0" fontId="11" fillId="6" borderId="2" xfId="3" applyFont="1" applyBorder="1" applyAlignment="1">
      <alignment horizontal="center" vertical="center" textRotation="90"/>
    </xf>
    <xf numFmtId="0" fontId="11" fillId="6" borderId="4" xfId="3" applyFont="1" applyBorder="1" applyAlignment="1">
      <alignment horizontal="center" vertical="center" textRotation="90"/>
    </xf>
    <xf numFmtId="0" fontId="9" fillId="5" borderId="10" xfId="2" applyFont="1" applyBorder="1" applyAlignment="1">
      <alignment horizontal="center" vertical="center" textRotation="90"/>
    </xf>
    <xf numFmtId="0" fontId="9" fillId="5" borderId="3" xfId="2" applyFont="1" applyBorder="1" applyAlignment="1">
      <alignment horizontal="center" vertical="center" textRotation="90"/>
    </xf>
    <xf numFmtId="0" fontId="16" fillId="4" borderId="1" xfId="1" applyFont="1" applyBorder="1" applyAlignment="1">
      <alignment horizontal="center" vertical="center"/>
    </xf>
    <xf numFmtId="0" fontId="10" fillId="4" borderId="5" xfId="1" applyBorder="1" applyAlignment="1">
      <alignment horizontal="center" vertical="center"/>
    </xf>
    <xf numFmtId="0" fontId="10" fillId="4" borderId="0" xfId="1" applyBorder="1" applyAlignment="1">
      <alignment horizontal="center" vertical="center"/>
    </xf>
    <xf numFmtId="0" fontId="11" fillId="7" borderId="13" xfId="4" applyFont="1" applyBorder="1" applyAlignment="1">
      <alignment horizontal="center" vertical="center" textRotation="90"/>
    </xf>
    <xf numFmtId="0" fontId="12" fillId="7" borderId="13" xfId="4" applyFont="1" applyBorder="1" applyAlignment="1">
      <alignment horizontal="center"/>
    </xf>
    <xf numFmtId="0" fontId="12" fillId="7" borderId="13" xfId="4" applyFont="1" applyBorder="1" applyAlignment="1">
      <alignment horizontal="left" indent="1"/>
    </xf>
  </cellXfs>
  <cellStyles count="6">
    <cellStyle name="20% - Ênfase5" xfId="2" builtinId="46"/>
    <cellStyle name="40% - Ênfase5" xfId="3" builtinId="47"/>
    <cellStyle name="60% - Ênfase5" xfId="4" builtinId="48"/>
    <cellStyle name="Ênfase1" xfId="5" builtinId="29"/>
    <cellStyle name="Ênfase5" xfId="1" builtinId="45"/>
    <cellStyle name="Normal" xfId="0" builtinId="0"/>
  </cellStyles>
  <dxfs count="9">
    <dxf>
      <font>
        <color theme="0"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b/>
        <i val="0"/>
        <color theme="5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ltr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9530</xdr:colOff>
      <xdr:row>0</xdr:row>
      <xdr:rowOff>19050</xdr:rowOff>
    </xdr:from>
    <xdr:to>
      <xdr:col>2</xdr:col>
      <xdr:colOff>504832</xdr:colOff>
      <xdr:row>4</xdr:row>
      <xdr:rowOff>47627</xdr:rowOff>
    </xdr:to>
    <xdr:sp macro="" textlink="">
      <xdr:nvSpPr>
        <xdr:cNvPr id="2" name="Pentágon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404817" y="-376237"/>
          <a:ext cx="695327" cy="1485902"/>
        </a:xfrm>
        <a:prstGeom prst="homePlate">
          <a:avLst>
            <a:gd name="adj" fmla="val 21582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28575</xdr:colOff>
      <xdr:row>0</xdr:row>
      <xdr:rowOff>47625</xdr:rowOff>
    </xdr:from>
    <xdr:to>
      <xdr:col>2</xdr:col>
      <xdr:colOff>466725</xdr:colOff>
      <xdr:row>2</xdr:row>
      <xdr:rowOff>180975</xdr:rowOff>
    </xdr:to>
    <xdr:pic>
      <xdr:nvPicPr>
        <xdr:cNvPr id="2050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47625"/>
          <a:ext cx="1428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0</xdr:rowOff>
    </xdr:from>
    <xdr:to>
      <xdr:col>11</xdr:col>
      <xdr:colOff>133350</xdr:colOff>
      <xdr:row>10</xdr:row>
      <xdr:rowOff>123825</xdr:rowOff>
    </xdr:to>
    <xdr:sp macro="" textlink="">
      <xdr:nvSpPr>
        <xdr:cNvPr id="2" name="Texto explicativo retangula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29175" y="742950"/>
          <a:ext cx="3390900" cy="1685925"/>
        </a:xfrm>
        <a:prstGeom prst="wedgeRectCallout">
          <a:avLst>
            <a:gd name="adj1" fmla="val -24326"/>
            <a:gd name="adj2" fmla="val 873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Para que</a:t>
          </a:r>
          <a:r>
            <a:rPr lang="pt-BR" sz="1100" baseline="0"/>
            <a:t> a planilha não considere o feriado, basta deletar o "X"  na célula correspondente da coluna B.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Quanto aos feriados fixos municipais e estadual, digite x na coluna B , informe o dia na coluna E e o mês na coluna F. Caso o "x" não esteja marcado, os valores selecionados em E16, E17, E18, E19, F16, F17, F18 e F19 não irão interferir no cálculo dos feriados.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6"/>
  </sheetPr>
  <dimension ref="A2:AB151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2.7109375" customWidth="1"/>
    <col min="2" max="2" width="12.140625" customWidth="1"/>
    <col min="3" max="3" width="12.42578125" customWidth="1"/>
    <col min="4" max="4" width="6.85546875" customWidth="1"/>
    <col min="5" max="5" width="9.42578125" customWidth="1"/>
    <col min="6" max="8" width="9.42578125" bestFit="1" customWidth="1"/>
    <col min="9" max="12" width="9.42578125" customWidth="1"/>
    <col min="13" max="15" width="11.28515625" customWidth="1"/>
    <col min="17" max="18" width="0.85546875" customWidth="1"/>
    <col min="19" max="19" width="24" customWidth="1"/>
    <col min="20" max="20" width="8.42578125" customWidth="1"/>
    <col min="21" max="21" width="6.7109375" customWidth="1"/>
    <col min="22" max="25" width="9.42578125" customWidth="1"/>
    <col min="27" max="27" width="12" customWidth="1"/>
    <col min="28" max="28" width="26.85546875" customWidth="1"/>
  </cols>
  <sheetData>
    <row r="2" spans="1:28" ht="15.95" customHeight="1" x14ac:dyDescent="0.2">
      <c r="D2" s="126"/>
      <c r="E2" s="139"/>
      <c r="H2" s="159"/>
      <c r="J2" s="2"/>
      <c r="O2" s="161"/>
      <c r="V2" s="157"/>
      <c r="W2" s="158"/>
      <c r="X2" s="158"/>
      <c r="Y2" s="158"/>
      <c r="Z2" s="158"/>
    </row>
    <row r="3" spans="1:28" ht="15.95" customHeight="1" x14ac:dyDescent="0.2">
      <c r="D3" s="126"/>
      <c r="E3" s="139"/>
      <c r="H3" s="160"/>
      <c r="J3" s="3"/>
      <c r="K3" s="85"/>
      <c r="O3" s="161"/>
      <c r="V3" s="158"/>
      <c r="W3" s="158"/>
      <c r="X3" s="158"/>
      <c r="Y3" s="158"/>
      <c r="Z3" s="158"/>
    </row>
    <row r="4" spans="1:28" ht="13.5" customHeight="1" x14ac:dyDescent="0.2">
      <c r="O4" s="161"/>
      <c r="V4" s="158"/>
      <c r="W4" s="158"/>
      <c r="X4" s="158"/>
      <c r="Y4" s="158"/>
      <c r="Z4" s="158"/>
    </row>
    <row r="5" spans="1:28" x14ac:dyDescent="0.2">
      <c r="B5" s="163"/>
      <c r="C5" s="163"/>
      <c r="D5" s="156"/>
      <c r="E5" s="84"/>
      <c r="F5" s="80"/>
      <c r="V5" s="166" t="s">
        <v>0</v>
      </c>
      <c r="W5" s="167"/>
      <c r="X5" s="167"/>
      <c r="Y5" s="168"/>
    </row>
    <row r="6" spans="1:28" x14ac:dyDescent="0.2">
      <c r="V6" s="169"/>
      <c r="W6" s="170"/>
      <c r="X6" s="170"/>
      <c r="Y6" s="171"/>
      <c r="AA6" s="87"/>
    </row>
    <row r="7" spans="1:28" ht="25.5" x14ac:dyDescent="0.2">
      <c r="B7" s="88" t="s">
        <v>1</v>
      </c>
      <c r="C7" s="88" t="s">
        <v>2</v>
      </c>
      <c r="D7" s="88" t="s">
        <v>3</v>
      </c>
      <c r="E7" s="88" t="s">
        <v>4</v>
      </c>
      <c r="F7" s="88" t="s">
        <v>5</v>
      </c>
      <c r="G7" s="88" t="s">
        <v>4</v>
      </c>
      <c r="H7" s="88" t="s">
        <v>5</v>
      </c>
      <c r="I7" s="88" t="s">
        <v>6</v>
      </c>
      <c r="J7" s="88" t="s">
        <v>7</v>
      </c>
      <c r="K7" s="88" t="s">
        <v>8</v>
      </c>
      <c r="L7" s="88" t="s">
        <v>9</v>
      </c>
      <c r="M7" s="88" t="s">
        <v>10</v>
      </c>
      <c r="N7" s="88" t="s">
        <v>11</v>
      </c>
      <c r="O7" s="88" t="s">
        <v>12</v>
      </c>
      <c r="P7" s="88" t="s">
        <v>13</v>
      </c>
      <c r="Q7" s="107"/>
      <c r="R7" s="119"/>
      <c r="S7" s="164" t="s">
        <v>14</v>
      </c>
      <c r="T7" s="165"/>
      <c r="U7" s="150"/>
      <c r="V7" s="88" t="s">
        <v>4</v>
      </c>
      <c r="W7" s="88" t="s">
        <v>5</v>
      </c>
      <c r="X7" s="88" t="s">
        <v>4</v>
      </c>
      <c r="Y7" s="88" t="s">
        <v>5</v>
      </c>
      <c r="AA7" s="127"/>
      <c r="AB7" s="82"/>
    </row>
    <row r="8" spans="1:28" ht="12.75" customHeight="1" x14ac:dyDescent="0.2">
      <c r="A8" s="36">
        <f>IF(B8="","",IF(C8&lt;&gt;"feriado",WEEKDAY(B8),8))</f>
        <v>8</v>
      </c>
      <c r="B8" s="38">
        <f>inicio</f>
        <v>45292</v>
      </c>
      <c r="C8" s="39" t="str">
        <f>IF(B8="","",IF(COUNTIF(fer,B8)&gt;0,"feriado",B8))</f>
        <v>feriado</v>
      </c>
      <c r="D8" s="120" t="s">
        <v>15</v>
      </c>
      <c r="E8" s="140">
        <v>800</v>
      </c>
      <c r="F8" s="140">
        <v>1200</v>
      </c>
      <c r="G8" s="140">
        <v>1300</v>
      </c>
      <c r="H8" s="140">
        <v>1800</v>
      </c>
      <c r="I8" s="77">
        <f>IF(B8="","",ROUND(M8-L8,5))</f>
        <v>0.375</v>
      </c>
      <c r="J8" s="79">
        <f t="shared" ref="J8:J38" si="0">IF(B8="","",IF(AND(E8="",F8="",G8="",H8=""),0,IF(AND(G8="",H8=""),MAX(ININOT,MIN(FIMNOT+1,W8+(V8&gt;W8)))-MAX(ININOT,V8)+(MIN(FIMNOT,W8+(V8&gt;W8))-MIN(FIMNOT,V8)),MAX(ININOT,MIN(FIMNOT+1,W8+(V8&gt;W8)))-MAX(ININOT,V8)+(MIN(FIMNOT,W8+(V8&gt;W8))-MIN(FIMNOT,V8))+MAX(ININOT,MIN(FIMNOT+1,Y8+(X8&gt;Y8)))-MAX(ININOT,X8)+(MIN(FIMNOT,Y8+(X8&gt;Y8))-MIN(FIMNOT,X8)))))</f>
        <v>0</v>
      </c>
      <c r="K8" s="40">
        <f>IF(B8="","",(J8/7*8)-J8)</f>
        <v>0</v>
      </c>
      <c r="L8" s="40">
        <f>IF(B8="","",J8+K8)</f>
        <v>0</v>
      </c>
      <c r="M8" s="41">
        <f>IF(B8="","",MOD((W8-V8)+(Y8-X8),1)+K8)</f>
        <v>0.37500000000000006</v>
      </c>
      <c r="N8" s="42">
        <f t="shared" ref="N8:N38" si="1">IF(B8="","",IF(D8="F",$T$16,VLOOKUP(A8,jornada,3)))</f>
        <v>0</v>
      </c>
      <c r="O8" s="41">
        <f>IF(B8="","",IF(N8=0,0,MAX(0,M8-N8)))</f>
        <v>0</v>
      </c>
      <c r="P8" s="43">
        <f t="shared" ref="P8:P38" si="2">IF(B8="","",IF(N8=0,M8,0))</f>
        <v>0.37500000000000006</v>
      </c>
      <c r="Q8" s="118"/>
      <c r="R8" s="124">
        <v>1</v>
      </c>
      <c r="S8" s="109" t="s">
        <v>16</v>
      </c>
      <c r="T8" s="113">
        <v>0.30555555555555552</v>
      </c>
      <c r="V8" s="143">
        <f>IF(B8="","",IF($E8="",0,TIME(INT(E8/100),MOD(E8,100),0)))</f>
        <v>0.33333333333333331</v>
      </c>
      <c r="W8" s="144">
        <f>IF(B8="","",IF($F8="",0,TIME(INT(F8/100),MOD(F8,100),0)))</f>
        <v>0.5</v>
      </c>
      <c r="X8" s="143">
        <f>IF(B8="","",IF($G8="",0,TIME(INT(G8/100),MOD(G8,100),0)))</f>
        <v>0.54166666666666663</v>
      </c>
      <c r="Y8" s="143">
        <f>IF(B8="","",IF($H8="",0,TIME(INT(H8/100),MOD(H8,100),0)))</f>
        <v>0.75</v>
      </c>
      <c r="AA8" s="8"/>
      <c r="AB8" s="6"/>
    </row>
    <row r="9" spans="1:28" ht="12.75" customHeight="1" x14ac:dyDescent="0.2">
      <c r="A9" s="36">
        <f t="shared" ref="A9:A38" si="3">IF(B9="","",IF(C9&lt;&gt;"feriado",WEEKDAY(B9),8))</f>
        <v>3</v>
      </c>
      <c r="B9" s="44">
        <f>B8+1</f>
        <v>45293</v>
      </c>
      <c r="C9" s="45">
        <f t="shared" ref="C9:C38" si="4">IF(B9="","",IF(COUNTIF(fer,B9)&gt;0,"feriado",B9))</f>
        <v>45293</v>
      </c>
      <c r="D9" s="121"/>
      <c r="E9" s="141">
        <v>2000</v>
      </c>
      <c r="F9" s="141">
        <v>2400</v>
      </c>
      <c r="G9" s="141">
        <v>100</v>
      </c>
      <c r="H9" s="141">
        <v>700</v>
      </c>
      <c r="I9" s="79">
        <f t="shared" ref="I9:I38" si="5">IF(B9="","",ROUND(M9-L9,5))</f>
        <v>0.16667000000000001</v>
      </c>
      <c r="J9" s="79">
        <f t="shared" si="0"/>
        <v>0.25000000000000006</v>
      </c>
      <c r="K9" s="46">
        <f t="shared" ref="K9:K38" si="6">IF(B9="","",(J9/7*8)-J9)</f>
        <v>3.5714285714285698E-2</v>
      </c>
      <c r="L9" s="46">
        <f t="shared" ref="L9:L38" si="7">IF(B9="","",J9+K9)</f>
        <v>0.28571428571428575</v>
      </c>
      <c r="M9" s="47">
        <f t="shared" ref="M9:M38" si="8">IF(B9="","",MOD((W9-V9)+(Y9-X9),1)+K9)</f>
        <v>0.45238095238095233</v>
      </c>
      <c r="N9" s="148">
        <f t="shared" si="1"/>
        <v>0.30555555555555552</v>
      </c>
      <c r="O9" s="47">
        <f t="shared" ref="O9:O38" si="9">IF(B9="","",IF(N9=0,0,MAX(0,M9-N9)))</f>
        <v>0.1468253968253968</v>
      </c>
      <c r="P9" s="48">
        <f t="shared" si="2"/>
        <v>0</v>
      </c>
      <c r="Q9" s="104"/>
      <c r="R9" s="125">
        <v>2</v>
      </c>
      <c r="S9" s="116" t="s">
        <v>17</v>
      </c>
      <c r="T9" s="114">
        <v>0.30555555555555552</v>
      </c>
      <c r="V9" s="143">
        <f t="shared" ref="V9:V38" si="10">IF(B9="","",IF($E9="",0,TIME(INT(E9/100),MOD(E9,100),0)))</f>
        <v>0.83333333333333337</v>
      </c>
      <c r="W9" s="144">
        <f t="shared" ref="W9:W38" si="11">IF(B9="","",IF($F9="",0,TIME(INT(F9/100),MOD(F9,100),0)))</f>
        <v>0</v>
      </c>
      <c r="X9" s="143">
        <f t="shared" ref="X9:X38" si="12">IF(B9="","",IF($G9="",0,TIME(INT(G9/100),MOD(G9,100),0)))</f>
        <v>4.1666666666666664E-2</v>
      </c>
      <c r="Y9" s="143">
        <f t="shared" ref="Y9:Y38" si="13">IF(B9="","",IF($H9="",0,TIME(INT(H9/100),MOD(H9,100),0)))</f>
        <v>0.29166666666666669</v>
      </c>
      <c r="AA9" s="8"/>
      <c r="AB9" s="6"/>
    </row>
    <row r="10" spans="1:28" x14ac:dyDescent="0.2">
      <c r="A10" s="36">
        <f t="shared" si="3"/>
        <v>4</v>
      </c>
      <c r="B10" s="44">
        <f>B9+1</f>
        <v>45294</v>
      </c>
      <c r="C10" s="45">
        <f t="shared" si="4"/>
        <v>45294</v>
      </c>
      <c r="D10" s="121"/>
      <c r="E10" s="141">
        <v>1800</v>
      </c>
      <c r="F10" s="141">
        <v>2400</v>
      </c>
      <c r="G10" s="141">
        <v>100</v>
      </c>
      <c r="H10" s="141">
        <v>600</v>
      </c>
      <c r="I10" s="79">
        <f t="shared" si="5"/>
        <v>0.20832999999999999</v>
      </c>
      <c r="J10" s="79">
        <f t="shared" si="0"/>
        <v>0.25000000000000006</v>
      </c>
      <c r="K10" s="46">
        <f t="shared" si="6"/>
        <v>3.5714285714285698E-2</v>
      </c>
      <c r="L10" s="46">
        <f t="shared" si="7"/>
        <v>0.28571428571428575</v>
      </c>
      <c r="M10" s="47">
        <f t="shared" si="8"/>
        <v>0.49404761904761907</v>
      </c>
      <c r="N10" s="148">
        <f t="shared" si="1"/>
        <v>0.30555555555555552</v>
      </c>
      <c r="O10" s="47">
        <f t="shared" si="9"/>
        <v>0.18849206349206354</v>
      </c>
      <c r="P10" s="48">
        <f t="shared" si="2"/>
        <v>0</v>
      </c>
      <c r="Q10" s="104"/>
      <c r="R10" s="125">
        <v>3</v>
      </c>
      <c r="S10" s="110" t="s">
        <v>18</v>
      </c>
      <c r="T10" s="114">
        <v>0.30555555555555552</v>
      </c>
      <c r="V10" s="143">
        <f t="shared" si="10"/>
        <v>0.75</v>
      </c>
      <c r="W10" s="144">
        <f t="shared" si="11"/>
        <v>0</v>
      </c>
      <c r="X10" s="143">
        <f t="shared" si="12"/>
        <v>4.1666666666666664E-2</v>
      </c>
      <c r="Y10" s="143">
        <f t="shared" si="13"/>
        <v>0.25</v>
      </c>
      <c r="AA10" s="8"/>
      <c r="AB10" s="6"/>
    </row>
    <row r="11" spans="1:28" x14ac:dyDescent="0.2">
      <c r="A11" s="36">
        <f t="shared" si="3"/>
        <v>5</v>
      </c>
      <c r="B11" s="44">
        <f>B10+1</f>
        <v>45295</v>
      </c>
      <c r="C11" s="45">
        <f t="shared" si="4"/>
        <v>45295</v>
      </c>
      <c r="D11" s="121"/>
      <c r="E11" s="141">
        <v>900</v>
      </c>
      <c r="F11" s="141">
        <v>1200</v>
      </c>
      <c r="G11" s="141">
        <v>1300</v>
      </c>
      <c r="H11" s="141">
        <v>1800</v>
      </c>
      <c r="I11" s="79">
        <f t="shared" si="5"/>
        <v>0.33333000000000002</v>
      </c>
      <c r="J11" s="79">
        <f t="shared" si="0"/>
        <v>0</v>
      </c>
      <c r="K11" s="46">
        <f t="shared" si="6"/>
        <v>0</v>
      </c>
      <c r="L11" s="46">
        <f t="shared" si="7"/>
        <v>0</v>
      </c>
      <c r="M11" s="47">
        <f t="shared" si="8"/>
        <v>0.33333333333333337</v>
      </c>
      <c r="N11" s="148">
        <f t="shared" si="1"/>
        <v>0.30555555555555552</v>
      </c>
      <c r="O11" s="47">
        <f t="shared" si="9"/>
        <v>2.7777777777777846E-2</v>
      </c>
      <c r="P11" s="48">
        <f t="shared" si="2"/>
        <v>0</v>
      </c>
      <c r="Q11" s="104"/>
      <c r="R11" s="125">
        <v>4</v>
      </c>
      <c r="S11" s="110" t="s">
        <v>19</v>
      </c>
      <c r="T11" s="114">
        <v>0.30555555555555552</v>
      </c>
      <c r="V11" s="143">
        <f t="shared" si="10"/>
        <v>0.375</v>
      </c>
      <c r="W11" s="144">
        <f t="shared" si="11"/>
        <v>0.5</v>
      </c>
      <c r="X11" s="143">
        <f t="shared" si="12"/>
        <v>0.54166666666666663</v>
      </c>
      <c r="Y11" s="143">
        <f t="shared" si="13"/>
        <v>0.75</v>
      </c>
      <c r="AA11" s="8"/>
      <c r="AB11" s="6"/>
    </row>
    <row r="12" spans="1:28" x14ac:dyDescent="0.2">
      <c r="A12" s="36">
        <f t="shared" si="3"/>
        <v>6</v>
      </c>
      <c r="B12" s="44">
        <f>B11+1</f>
        <v>45296</v>
      </c>
      <c r="C12" s="45">
        <f t="shared" si="4"/>
        <v>45296</v>
      </c>
      <c r="D12" s="121"/>
      <c r="E12" s="141">
        <v>900</v>
      </c>
      <c r="F12" s="141">
        <v>1300</v>
      </c>
      <c r="G12" s="141">
        <v>1330</v>
      </c>
      <c r="H12" s="141">
        <v>1800</v>
      </c>
      <c r="I12" s="79">
        <f t="shared" si="5"/>
        <v>0.35416999999999998</v>
      </c>
      <c r="J12" s="79">
        <f t="shared" si="0"/>
        <v>0</v>
      </c>
      <c r="K12" s="46">
        <f t="shared" si="6"/>
        <v>0</v>
      </c>
      <c r="L12" s="46">
        <f t="shared" si="7"/>
        <v>0</v>
      </c>
      <c r="M12" s="47">
        <f t="shared" si="8"/>
        <v>0.35416666666666663</v>
      </c>
      <c r="N12" s="148">
        <f t="shared" si="1"/>
        <v>0.30555555555555552</v>
      </c>
      <c r="O12" s="47">
        <f t="shared" si="9"/>
        <v>4.8611111111111105E-2</v>
      </c>
      <c r="P12" s="48">
        <f t="shared" si="2"/>
        <v>0</v>
      </c>
      <c r="Q12" s="104"/>
      <c r="R12" s="125">
        <v>5</v>
      </c>
      <c r="S12" s="110" t="s">
        <v>20</v>
      </c>
      <c r="T12" s="114">
        <v>0.30555555555555552</v>
      </c>
      <c r="V12" s="143">
        <f t="shared" si="10"/>
        <v>0.375</v>
      </c>
      <c r="W12" s="144">
        <f t="shared" si="11"/>
        <v>0.54166666666666663</v>
      </c>
      <c r="X12" s="143">
        <f t="shared" si="12"/>
        <v>0.5625</v>
      </c>
      <c r="Y12" s="143">
        <f t="shared" si="13"/>
        <v>0.75</v>
      </c>
      <c r="AA12" s="8"/>
      <c r="AB12" s="6"/>
    </row>
    <row r="13" spans="1:28" x14ac:dyDescent="0.2">
      <c r="A13" s="36">
        <f t="shared" si="3"/>
        <v>7</v>
      </c>
      <c r="B13" s="44">
        <f t="shared" ref="B13:B35" si="14">B12+1</f>
        <v>45297</v>
      </c>
      <c r="C13" s="45">
        <f t="shared" si="4"/>
        <v>45297</v>
      </c>
      <c r="D13" s="121"/>
      <c r="E13" s="141">
        <v>1000</v>
      </c>
      <c r="F13" s="141">
        <v>1400</v>
      </c>
      <c r="G13" s="141">
        <v>1530</v>
      </c>
      <c r="H13" s="141">
        <v>2100</v>
      </c>
      <c r="I13" s="79">
        <f t="shared" si="5"/>
        <v>0.39583000000000002</v>
      </c>
      <c r="J13" s="79">
        <f t="shared" si="0"/>
        <v>0</v>
      </c>
      <c r="K13" s="46">
        <f t="shared" si="6"/>
        <v>0</v>
      </c>
      <c r="L13" s="46">
        <f t="shared" si="7"/>
        <v>0</v>
      </c>
      <c r="M13" s="47">
        <f t="shared" si="8"/>
        <v>0.39583333333333331</v>
      </c>
      <c r="N13" s="148">
        <f t="shared" si="1"/>
        <v>0.30555555555555552</v>
      </c>
      <c r="O13" s="47">
        <f t="shared" si="9"/>
        <v>9.027777777777779E-2</v>
      </c>
      <c r="P13" s="48">
        <f t="shared" si="2"/>
        <v>0</v>
      </c>
      <c r="Q13" s="104"/>
      <c r="R13" s="125">
        <v>6</v>
      </c>
      <c r="S13" s="110" t="s">
        <v>21</v>
      </c>
      <c r="T13" s="114">
        <v>0.30555555555555552</v>
      </c>
      <c r="V13" s="143">
        <f t="shared" si="10"/>
        <v>0.41666666666666669</v>
      </c>
      <c r="W13" s="144">
        <f t="shared" si="11"/>
        <v>0.58333333333333337</v>
      </c>
      <c r="X13" s="143">
        <f t="shared" si="12"/>
        <v>0.64583333333333337</v>
      </c>
      <c r="Y13" s="143">
        <f t="shared" si="13"/>
        <v>0.875</v>
      </c>
      <c r="AA13" s="8"/>
      <c r="AB13" s="6"/>
    </row>
    <row r="14" spans="1:28" x14ac:dyDescent="0.2">
      <c r="A14" s="36">
        <f t="shared" si="3"/>
        <v>1</v>
      </c>
      <c r="B14" s="44">
        <f t="shared" si="14"/>
        <v>45298</v>
      </c>
      <c r="C14" s="45">
        <f t="shared" si="4"/>
        <v>45298</v>
      </c>
      <c r="D14" s="121"/>
      <c r="E14" s="141">
        <v>1200</v>
      </c>
      <c r="F14" s="141">
        <v>1600</v>
      </c>
      <c r="G14" s="141">
        <v>1700</v>
      </c>
      <c r="H14" s="141">
        <v>2215</v>
      </c>
      <c r="I14" s="79">
        <f t="shared" si="5"/>
        <v>0.375</v>
      </c>
      <c r="J14" s="79">
        <f t="shared" si="0"/>
        <v>1.0416666666666741E-2</v>
      </c>
      <c r="K14" s="46">
        <f t="shared" si="6"/>
        <v>1.4880952380952484E-3</v>
      </c>
      <c r="L14" s="46">
        <f t="shared" si="7"/>
        <v>1.1904761904761989E-2</v>
      </c>
      <c r="M14" s="47">
        <f t="shared" si="8"/>
        <v>0.38690476190476186</v>
      </c>
      <c r="N14" s="148">
        <f t="shared" si="1"/>
        <v>0.30555555555555552</v>
      </c>
      <c r="O14" s="47">
        <f t="shared" si="9"/>
        <v>8.1349206349206338E-2</v>
      </c>
      <c r="P14" s="48">
        <f t="shared" si="2"/>
        <v>0</v>
      </c>
      <c r="Q14" s="104"/>
      <c r="R14" s="125">
        <v>7</v>
      </c>
      <c r="S14" s="117" t="s">
        <v>22</v>
      </c>
      <c r="T14" s="114">
        <v>0.30555555555555552</v>
      </c>
      <c r="V14" s="143">
        <f t="shared" si="10"/>
        <v>0.5</v>
      </c>
      <c r="W14" s="144">
        <f t="shared" si="11"/>
        <v>0.66666666666666663</v>
      </c>
      <c r="X14" s="143">
        <f t="shared" si="12"/>
        <v>0.70833333333333337</v>
      </c>
      <c r="Y14" s="143">
        <f t="shared" si="13"/>
        <v>0.92708333333333337</v>
      </c>
      <c r="AA14" s="8"/>
      <c r="AB14" s="6"/>
    </row>
    <row r="15" spans="1:28" x14ac:dyDescent="0.2">
      <c r="A15" s="36">
        <f t="shared" si="3"/>
        <v>2</v>
      </c>
      <c r="B15" s="44">
        <f t="shared" si="14"/>
        <v>45299</v>
      </c>
      <c r="C15" s="45">
        <f t="shared" si="4"/>
        <v>45299</v>
      </c>
      <c r="D15" s="121" t="s">
        <v>15</v>
      </c>
      <c r="E15" s="141">
        <v>1200</v>
      </c>
      <c r="F15" s="141">
        <v>1700</v>
      </c>
      <c r="G15" s="141">
        <v>1800</v>
      </c>
      <c r="H15" s="141">
        <v>2200</v>
      </c>
      <c r="I15" s="79">
        <f t="shared" si="5"/>
        <v>0.375</v>
      </c>
      <c r="J15" s="79">
        <f t="shared" si="0"/>
        <v>0</v>
      </c>
      <c r="K15" s="46">
        <f t="shared" si="6"/>
        <v>0</v>
      </c>
      <c r="L15" s="46">
        <f t="shared" si="7"/>
        <v>0</v>
      </c>
      <c r="M15" s="47">
        <f t="shared" si="8"/>
        <v>0.375</v>
      </c>
      <c r="N15" s="148">
        <f t="shared" si="1"/>
        <v>0</v>
      </c>
      <c r="O15" s="47">
        <f t="shared" si="9"/>
        <v>0</v>
      </c>
      <c r="P15" s="48">
        <f t="shared" si="2"/>
        <v>0.375</v>
      </c>
      <c r="Q15" s="104"/>
      <c r="R15" s="125">
        <v>8</v>
      </c>
      <c r="S15" s="111" t="s">
        <v>23</v>
      </c>
      <c r="T15" s="115">
        <v>0.30555555555555552</v>
      </c>
      <c r="V15" s="143">
        <f t="shared" si="10"/>
        <v>0.5</v>
      </c>
      <c r="W15" s="144">
        <f t="shared" si="11"/>
        <v>0.70833333333333337</v>
      </c>
      <c r="X15" s="143">
        <f t="shared" si="12"/>
        <v>0.75</v>
      </c>
      <c r="Y15" s="143">
        <f t="shared" si="13"/>
        <v>0.91666666666666663</v>
      </c>
      <c r="AA15" s="8"/>
      <c r="AB15" s="6"/>
    </row>
    <row r="16" spans="1:28" x14ac:dyDescent="0.2">
      <c r="A16" s="36">
        <f t="shared" si="3"/>
        <v>3</v>
      </c>
      <c r="B16" s="44">
        <f t="shared" si="14"/>
        <v>45300</v>
      </c>
      <c r="C16" s="45">
        <f t="shared" si="4"/>
        <v>45300</v>
      </c>
      <c r="D16" s="121"/>
      <c r="E16" s="141">
        <v>1000</v>
      </c>
      <c r="F16" s="141">
        <v>1400</v>
      </c>
      <c r="G16" s="141">
        <v>1445</v>
      </c>
      <c r="H16" s="141">
        <v>2300</v>
      </c>
      <c r="I16" s="79">
        <f t="shared" si="5"/>
        <v>0.46875</v>
      </c>
      <c r="J16" s="79">
        <f t="shared" si="0"/>
        <v>4.1666666666666741E-2</v>
      </c>
      <c r="K16" s="46">
        <f t="shared" si="6"/>
        <v>5.9523809523809659E-3</v>
      </c>
      <c r="L16" s="46">
        <f t="shared" si="7"/>
        <v>4.7619047619047707E-2</v>
      </c>
      <c r="M16" s="47">
        <f t="shared" si="8"/>
        <v>0.51636904761904767</v>
      </c>
      <c r="N16" s="148">
        <f t="shared" si="1"/>
        <v>0.30555555555555552</v>
      </c>
      <c r="O16" s="47">
        <f t="shared" si="9"/>
        <v>0.21081349206349215</v>
      </c>
      <c r="P16" s="48">
        <f t="shared" si="2"/>
        <v>0</v>
      </c>
      <c r="Q16" s="104"/>
      <c r="R16" s="104"/>
      <c r="S16" s="112" t="s">
        <v>3</v>
      </c>
      <c r="T16" s="108">
        <v>0</v>
      </c>
      <c r="V16" s="143">
        <f t="shared" si="10"/>
        <v>0.41666666666666669</v>
      </c>
      <c r="W16" s="144">
        <f t="shared" si="11"/>
        <v>0.58333333333333337</v>
      </c>
      <c r="X16" s="143">
        <f t="shared" si="12"/>
        <v>0.61458333333333337</v>
      </c>
      <c r="Y16" s="143">
        <f t="shared" si="13"/>
        <v>0.95833333333333337</v>
      </c>
      <c r="AA16" s="8"/>
      <c r="AB16" s="6"/>
    </row>
    <row r="17" spans="1:28" x14ac:dyDescent="0.2">
      <c r="A17" s="36">
        <f t="shared" si="3"/>
        <v>4</v>
      </c>
      <c r="B17" s="44">
        <f t="shared" si="14"/>
        <v>45301</v>
      </c>
      <c r="C17" s="45">
        <f t="shared" si="4"/>
        <v>45301</v>
      </c>
      <c r="D17" s="121"/>
      <c r="E17" s="141">
        <v>1100</v>
      </c>
      <c r="F17" s="141">
        <v>1900</v>
      </c>
      <c r="G17" s="141">
        <v>1900</v>
      </c>
      <c r="H17" s="141">
        <v>2300</v>
      </c>
      <c r="I17" s="79">
        <f t="shared" si="5"/>
        <v>0.45833000000000002</v>
      </c>
      <c r="J17" s="79">
        <f t="shared" si="0"/>
        <v>4.1666666666666741E-2</v>
      </c>
      <c r="K17" s="46">
        <f t="shared" si="6"/>
        <v>5.9523809523809659E-3</v>
      </c>
      <c r="L17" s="46">
        <f t="shared" si="7"/>
        <v>4.7619047619047707E-2</v>
      </c>
      <c r="M17" s="47">
        <f t="shared" si="8"/>
        <v>0.50595238095238093</v>
      </c>
      <c r="N17" s="148">
        <f t="shared" si="1"/>
        <v>0.30555555555555552</v>
      </c>
      <c r="O17" s="47">
        <f t="shared" si="9"/>
        <v>0.20039682539682541</v>
      </c>
      <c r="P17" s="48">
        <f t="shared" si="2"/>
        <v>0</v>
      </c>
      <c r="Q17" s="104"/>
      <c r="R17" s="104"/>
      <c r="S17" s="164" t="s">
        <v>24</v>
      </c>
      <c r="T17" s="165"/>
      <c r="V17" s="143">
        <f t="shared" si="10"/>
        <v>0.45833333333333331</v>
      </c>
      <c r="W17" s="144">
        <f t="shared" si="11"/>
        <v>0.79166666666666663</v>
      </c>
      <c r="X17" s="143">
        <f t="shared" si="12"/>
        <v>0.79166666666666663</v>
      </c>
      <c r="Y17" s="143">
        <f t="shared" si="13"/>
        <v>0.95833333333333337</v>
      </c>
      <c r="AA17" s="8"/>
      <c r="AB17" s="6"/>
    </row>
    <row r="18" spans="1:28" x14ac:dyDescent="0.2">
      <c r="A18" s="36">
        <f t="shared" si="3"/>
        <v>5</v>
      </c>
      <c r="B18" s="44">
        <f t="shared" si="14"/>
        <v>45302</v>
      </c>
      <c r="C18" s="45">
        <f t="shared" si="4"/>
        <v>45302</v>
      </c>
      <c r="D18" s="121"/>
      <c r="E18" s="141">
        <v>1900</v>
      </c>
      <c r="F18" s="141">
        <v>2100</v>
      </c>
      <c r="G18" s="141">
        <v>2200</v>
      </c>
      <c r="H18" s="141">
        <v>500</v>
      </c>
      <c r="I18" s="79">
        <f t="shared" si="5"/>
        <v>8.3330000000000001E-2</v>
      </c>
      <c r="J18" s="79">
        <f t="shared" si="0"/>
        <v>0.29166666666666663</v>
      </c>
      <c r="K18" s="46">
        <f t="shared" si="6"/>
        <v>4.1666666666666685E-2</v>
      </c>
      <c r="L18" s="46">
        <f t="shared" si="7"/>
        <v>0.33333333333333331</v>
      </c>
      <c r="M18" s="47">
        <f t="shared" si="8"/>
        <v>0.4166666666666668</v>
      </c>
      <c r="N18" s="148">
        <f t="shared" si="1"/>
        <v>0.30555555555555552</v>
      </c>
      <c r="O18" s="47">
        <f t="shared" si="9"/>
        <v>0.11111111111111127</v>
      </c>
      <c r="P18" s="48">
        <f t="shared" si="2"/>
        <v>0</v>
      </c>
      <c r="Q18" s="104"/>
      <c r="R18" s="104"/>
      <c r="S18" s="128" t="s">
        <v>25</v>
      </c>
      <c r="T18" s="113">
        <v>0.91666666666666663</v>
      </c>
      <c r="V18" s="143">
        <f t="shared" si="10"/>
        <v>0.79166666666666663</v>
      </c>
      <c r="W18" s="144">
        <f t="shared" si="11"/>
        <v>0.875</v>
      </c>
      <c r="X18" s="143">
        <f t="shared" si="12"/>
        <v>0.91666666666666663</v>
      </c>
      <c r="Y18" s="143">
        <f t="shared" si="13"/>
        <v>0.20833333333333334</v>
      </c>
      <c r="AA18" s="8"/>
      <c r="AB18" s="6"/>
    </row>
    <row r="19" spans="1:28" x14ac:dyDescent="0.2">
      <c r="A19" s="36">
        <f t="shared" si="3"/>
        <v>6</v>
      </c>
      <c r="B19" s="44">
        <f t="shared" si="14"/>
        <v>45303</v>
      </c>
      <c r="C19" s="45">
        <f t="shared" si="4"/>
        <v>45303</v>
      </c>
      <c r="D19" s="121" t="s">
        <v>15</v>
      </c>
      <c r="E19" s="141">
        <v>400</v>
      </c>
      <c r="F19" s="141">
        <v>800</v>
      </c>
      <c r="G19" s="141">
        <v>900</v>
      </c>
      <c r="H19" s="141">
        <v>1200</v>
      </c>
      <c r="I19" s="79">
        <f t="shared" si="5"/>
        <v>0.25</v>
      </c>
      <c r="J19" s="79">
        <f t="shared" si="0"/>
        <v>4.166666666666663E-2</v>
      </c>
      <c r="K19" s="46">
        <f t="shared" si="6"/>
        <v>5.9523809523809451E-3</v>
      </c>
      <c r="L19" s="46">
        <f t="shared" si="7"/>
        <v>4.7619047619047575E-2</v>
      </c>
      <c r="M19" s="47">
        <f t="shared" si="8"/>
        <v>0.29761904761904756</v>
      </c>
      <c r="N19" s="148">
        <f t="shared" si="1"/>
        <v>0</v>
      </c>
      <c r="O19" s="47">
        <f t="shared" si="9"/>
        <v>0</v>
      </c>
      <c r="P19" s="48">
        <f t="shared" si="2"/>
        <v>0.29761904761904756</v>
      </c>
      <c r="Q19" s="104"/>
      <c r="R19" s="104"/>
      <c r="S19" s="129" t="s">
        <v>26</v>
      </c>
      <c r="T19" s="115">
        <v>0.20833333333333334</v>
      </c>
      <c r="V19" s="143">
        <f t="shared" si="10"/>
        <v>0.16666666666666666</v>
      </c>
      <c r="W19" s="144">
        <f t="shared" si="11"/>
        <v>0.33333333333333331</v>
      </c>
      <c r="X19" s="143">
        <f t="shared" si="12"/>
        <v>0.375</v>
      </c>
      <c r="Y19" s="143">
        <f t="shared" si="13"/>
        <v>0.5</v>
      </c>
      <c r="AA19" s="8"/>
      <c r="AB19" s="9"/>
    </row>
    <row r="20" spans="1:28" x14ac:dyDescent="0.2">
      <c r="A20" s="36">
        <f t="shared" si="3"/>
        <v>7</v>
      </c>
      <c r="B20" s="44">
        <f t="shared" si="14"/>
        <v>45304</v>
      </c>
      <c r="C20" s="45">
        <f t="shared" si="4"/>
        <v>45304</v>
      </c>
      <c r="D20" s="121"/>
      <c r="E20" s="141">
        <v>500</v>
      </c>
      <c r="F20" s="141">
        <v>1000</v>
      </c>
      <c r="G20" s="141">
        <v>1100</v>
      </c>
      <c r="H20" s="141">
        <v>1800</v>
      </c>
      <c r="I20" s="79">
        <f t="shared" si="5"/>
        <v>0.5</v>
      </c>
      <c r="J20" s="79">
        <f t="shared" si="0"/>
        <v>0</v>
      </c>
      <c r="K20" s="46">
        <f t="shared" si="6"/>
        <v>0</v>
      </c>
      <c r="L20" s="46">
        <f t="shared" si="7"/>
        <v>0</v>
      </c>
      <c r="M20" s="47">
        <f t="shared" si="8"/>
        <v>0.5</v>
      </c>
      <c r="N20" s="148">
        <f t="shared" si="1"/>
        <v>0.30555555555555552</v>
      </c>
      <c r="O20" s="47">
        <f t="shared" si="9"/>
        <v>0.19444444444444448</v>
      </c>
      <c r="P20" s="48">
        <f t="shared" si="2"/>
        <v>0</v>
      </c>
      <c r="Q20" s="104"/>
      <c r="R20" s="104"/>
      <c r="S20" s="164" t="s">
        <v>27</v>
      </c>
      <c r="T20" s="165"/>
      <c r="V20" s="143">
        <f t="shared" si="10"/>
        <v>0.20833333333333334</v>
      </c>
      <c r="W20" s="144">
        <f t="shared" si="11"/>
        <v>0.41666666666666669</v>
      </c>
      <c r="X20" s="143">
        <f t="shared" si="12"/>
        <v>0.45833333333333331</v>
      </c>
      <c r="Y20" s="143">
        <f t="shared" si="13"/>
        <v>0.75</v>
      </c>
      <c r="AA20" s="8"/>
      <c r="AB20" s="6"/>
    </row>
    <row r="21" spans="1:28" x14ac:dyDescent="0.2">
      <c r="A21" s="36">
        <f t="shared" si="3"/>
        <v>1</v>
      </c>
      <c r="B21" s="44">
        <f t="shared" si="14"/>
        <v>45305</v>
      </c>
      <c r="C21" s="45">
        <f t="shared" si="4"/>
        <v>45305</v>
      </c>
      <c r="D21" s="121"/>
      <c r="E21" s="141">
        <v>2000</v>
      </c>
      <c r="F21" s="141">
        <v>2200</v>
      </c>
      <c r="G21" s="141">
        <v>2300</v>
      </c>
      <c r="H21" s="141">
        <v>500</v>
      </c>
      <c r="I21" s="79">
        <f t="shared" si="5"/>
        <v>8.3330000000000001E-2</v>
      </c>
      <c r="J21" s="79">
        <f t="shared" si="0"/>
        <v>0.24999999999999989</v>
      </c>
      <c r="K21" s="46">
        <f t="shared" si="6"/>
        <v>3.5714285714285698E-2</v>
      </c>
      <c r="L21" s="46">
        <f t="shared" si="7"/>
        <v>0.28571428571428559</v>
      </c>
      <c r="M21" s="47">
        <f t="shared" si="8"/>
        <v>0.36904761904761896</v>
      </c>
      <c r="N21" s="148">
        <f t="shared" si="1"/>
        <v>0.30555555555555552</v>
      </c>
      <c r="O21" s="47">
        <f t="shared" si="9"/>
        <v>6.3492063492063433E-2</v>
      </c>
      <c r="P21" s="48">
        <f t="shared" si="2"/>
        <v>0</v>
      </c>
      <c r="Q21" s="104"/>
      <c r="R21" s="104"/>
      <c r="S21" s="130" t="s">
        <v>28</v>
      </c>
      <c r="T21" s="151"/>
      <c r="V21" s="143">
        <f t="shared" si="10"/>
        <v>0.83333333333333337</v>
      </c>
      <c r="W21" s="144">
        <f t="shared" si="11"/>
        <v>0.91666666666666663</v>
      </c>
      <c r="X21" s="143">
        <f t="shared" si="12"/>
        <v>0.95833333333333337</v>
      </c>
      <c r="Y21" s="143">
        <f t="shared" si="13"/>
        <v>0.20833333333333334</v>
      </c>
    </row>
    <row r="22" spans="1:28" ht="15.75" x14ac:dyDescent="0.25">
      <c r="A22" s="36">
        <f t="shared" si="3"/>
        <v>2</v>
      </c>
      <c r="B22" s="44">
        <f t="shared" si="14"/>
        <v>45306</v>
      </c>
      <c r="C22" s="45">
        <f t="shared" si="4"/>
        <v>45306</v>
      </c>
      <c r="D22" s="121"/>
      <c r="E22" s="141">
        <v>1500</v>
      </c>
      <c r="F22" s="141">
        <v>1900</v>
      </c>
      <c r="G22" s="141">
        <v>2000</v>
      </c>
      <c r="H22" s="141">
        <v>2400</v>
      </c>
      <c r="I22" s="79">
        <f t="shared" si="5"/>
        <v>0.25</v>
      </c>
      <c r="J22" s="79">
        <f t="shared" si="0"/>
        <v>8.333333333333337E-2</v>
      </c>
      <c r="K22" s="46">
        <f t="shared" si="6"/>
        <v>1.1904761904761904E-2</v>
      </c>
      <c r="L22" s="46">
        <f t="shared" si="7"/>
        <v>9.5238095238095274E-2</v>
      </c>
      <c r="M22" s="47">
        <f t="shared" si="8"/>
        <v>0.34523809523809518</v>
      </c>
      <c r="N22" s="148">
        <f t="shared" si="1"/>
        <v>0.30555555555555552</v>
      </c>
      <c r="O22" s="47">
        <f t="shared" si="9"/>
        <v>3.9682539682539653E-2</v>
      </c>
      <c r="P22" s="48">
        <f t="shared" si="2"/>
        <v>0</v>
      </c>
      <c r="Q22" s="104"/>
      <c r="R22" s="104"/>
      <c r="S22" s="149" t="s">
        <v>29</v>
      </c>
      <c r="T22" s="153">
        <v>2024</v>
      </c>
      <c r="V22" s="143">
        <f t="shared" si="10"/>
        <v>0.625</v>
      </c>
      <c r="W22" s="144">
        <f t="shared" si="11"/>
        <v>0.79166666666666663</v>
      </c>
      <c r="X22" s="143">
        <f t="shared" si="12"/>
        <v>0.83333333333333337</v>
      </c>
      <c r="Y22" s="143">
        <f t="shared" si="13"/>
        <v>0</v>
      </c>
    </row>
    <row r="23" spans="1:28" ht="15.75" x14ac:dyDescent="0.25">
      <c r="A23" s="36">
        <f t="shared" si="3"/>
        <v>3</v>
      </c>
      <c r="B23" s="44">
        <f t="shared" si="14"/>
        <v>45307</v>
      </c>
      <c r="C23" s="45">
        <f t="shared" si="4"/>
        <v>45307</v>
      </c>
      <c r="D23" s="121"/>
      <c r="E23" s="141">
        <v>1500</v>
      </c>
      <c r="F23" s="141">
        <v>1900</v>
      </c>
      <c r="G23" s="141">
        <v>2000</v>
      </c>
      <c r="H23" s="141">
        <v>100</v>
      </c>
      <c r="I23" s="79">
        <f t="shared" si="5"/>
        <v>0.25</v>
      </c>
      <c r="J23" s="79">
        <f t="shared" si="0"/>
        <v>0.12500000000000011</v>
      </c>
      <c r="K23" s="46">
        <f t="shared" si="6"/>
        <v>1.7857142857142877E-2</v>
      </c>
      <c r="L23" s="46">
        <f t="shared" si="7"/>
        <v>0.14285714285714299</v>
      </c>
      <c r="M23" s="47">
        <f t="shared" si="8"/>
        <v>0.39285714285714279</v>
      </c>
      <c r="N23" s="148">
        <f t="shared" si="1"/>
        <v>0.30555555555555552</v>
      </c>
      <c r="O23" s="47">
        <f t="shared" si="9"/>
        <v>8.7301587301587269E-2</v>
      </c>
      <c r="P23" s="48">
        <f t="shared" si="2"/>
        <v>0</v>
      </c>
      <c r="Q23" s="104"/>
      <c r="R23" s="104"/>
      <c r="S23" s="149" t="s">
        <v>30</v>
      </c>
      <c r="T23" s="152">
        <v>1</v>
      </c>
      <c r="V23" s="143">
        <f t="shared" si="10"/>
        <v>0.625</v>
      </c>
      <c r="W23" s="144">
        <f t="shared" si="11"/>
        <v>0.79166666666666663</v>
      </c>
      <c r="X23" s="143">
        <f t="shared" si="12"/>
        <v>0.83333333333333337</v>
      </c>
      <c r="Y23" s="143">
        <f t="shared" si="13"/>
        <v>4.1666666666666664E-2</v>
      </c>
      <c r="AA23" s="5"/>
      <c r="AB23" s="4"/>
    </row>
    <row r="24" spans="1:28" x14ac:dyDescent="0.2">
      <c r="A24" s="36">
        <f t="shared" si="3"/>
        <v>4</v>
      </c>
      <c r="B24" s="44">
        <f t="shared" si="14"/>
        <v>45308</v>
      </c>
      <c r="C24" s="45">
        <f t="shared" si="4"/>
        <v>45308</v>
      </c>
      <c r="D24" s="121"/>
      <c r="E24" s="141">
        <v>0</v>
      </c>
      <c r="F24" s="141">
        <v>0</v>
      </c>
      <c r="G24" s="141">
        <v>0</v>
      </c>
      <c r="H24" s="141">
        <v>0</v>
      </c>
      <c r="I24" s="79">
        <f t="shared" si="5"/>
        <v>0</v>
      </c>
      <c r="J24" s="79">
        <f t="shared" si="0"/>
        <v>0</v>
      </c>
      <c r="K24" s="46">
        <f t="shared" si="6"/>
        <v>0</v>
      </c>
      <c r="L24" s="46">
        <f t="shared" si="7"/>
        <v>0</v>
      </c>
      <c r="M24" s="47">
        <f t="shared" si="8"/>
        <v>0</v>
      </c>
      <c r="N24" s="148">
        <f t="shared" si="1"/>
        <v>0.30555555555555552</v>
      </c>
      <c r="O24" s="47">
        <f t="shared" si="9"/>
        <v>0</v>
      </c>
      <c r="P24" s="48">
        <f t="shared" si="2"/>
        <v>0</v>
      </c>
      <c r="Q24" s="104"/>
      <c r="R24" s="104"/>
      <c r="S24" s="104"/>
      <c r="T24" s="104"/>
      <c r="V24" s="143">
        <f t="shared" si="10"/>
        <v>0</v>
      </c>
      <c r="W24" s="144">
        <f t="shared" si="11"/>
        <v>0</v>
      </c>
      <c r="X24" s="143">
        <f t="shared" si="12"/>
        <v>0</v>
      </c>
      <c r="Y24" s="143">
        <f t="shared" si="13"/>
        <v>0</v>
      </c>
    </row>
    <row r="25" spans="1:28" x14ac:dyDescent="0.2">
      <c r="A25" s="36">
        <f t="shared" si="3"/>
        <v>5</v>
      </c>
      <c r="B25" s="44">
        <f t="shared" si="14"/>
        <v>45309</v>
      </c>
      <c r="C25" s="45">
        <f t="shared" si="4"/>
        <v>45309</v>
      </c>
      <c r="D25" s="121"/>
      <c r="E25" s="141">
        <v>1600</v>
      </c>
      <c r="F25" s="141">
        <v>1900</v>
      </c>
      <c r="G25" s="141">
        <v>2000</v>
      </c>
      <c r="H25" s="141">
        <v>300</v>
      </c>
      <c r="I25" s="79">
        <f t="shared" si="5"/>
        <v>0.20832999999999999</v>
      </c>
      <c r="J25" s="79">
        <f t="shared" si="0"/>
        <v>0.20833333333333337</v>
      </c>
      <c r="K25" s="46">
        <f t="shared" si="6"/>
        <v>2.9761904761904767E-2</v>
      </c>
      <c r="L25" s="46">
        <f t="shared" si="7"/>
        <v>0.23809523809523814</v>
      </c>
      <c r="M25" s="47">
        <f t="shared" si="8"/>
        <v>0.4464285714285714</v>
      </c>
      <c r="N25" s="148">
        <f t="shared" si="1"/>
        <v>0.30555555555555552</v>
      </c>
      <c r="O25" s="47">
        <f t="shared" si="9"/>
        <v>0.14087301587301587</v>
      </c>
      <c r="P25" s="48">
        <f t="shared" si="2"/>
        <v>0</v>
      </c>
      <c r="Q25" s="104"/>
      <c r="R25" s="104"/>
      <c r="S25" s="104"/>
      <c r="T25" s="104"/>
      <c r="V25" s="143">
        <f t="shared" si="10"/>
        <v>0.66666666666666663</v>
      </c>
      <c r="W25" s="144">
        <f t="shared" si="11"/>
        <v>0.79166666666666663</v>
      </c>
      <c r="X25" s="143">
        <f t="shared" si="12"/>
        <v>0.83333333333333337</v>
      </c>
      <c r="Y25" s="143">
        <f t="shared" si="13"/>
        <v>0.125</v>
      </c>
    </row>
    <row r="26" spans="1:28" x14ac:dyDescent="0.2">
      <c r="A26" s="36">
        <f t="shared" si="3"/>
        <v>6</v>
      </c>
      <c r="B26" s="44">
        <f t="shared" si="14"/>
        <v>45310</v>
      </c>
      <c r="C26" s="45">
        <f t="shared" si="4"/>
        <v>45310</v>
      </c>
      <c r="D26" s="121" t="s">
        <v>15</v>
      </c>
      <c r="E26" s="141">
        <v>1600</v>
      </c>
      <c r="F26" s="141">
        <v>1900</v>
      </c>
      <c r="G26" s="141">
        <v>2000</v>
      </c>
      <c r="H26" s="141">
        <v>400</v>
      </c>
      <c r="I26" s="79">
        <f t="shared" si="5"/>
        <v>0.20832999999999999</v>
      </c>
      <c r="J26" s="79">
        <f t="shared" si="0"/>
        <v>0.25000000000000011</v>
      </c>
      <c r="K26" s="46">
        <f t="shared" si="6"/>
        <v>3.5714285714285754E-2</v>
      </c>
      <c r="L26" s="46">
        <f t="shared" si="7"/>
        <v>0.28571428571428586</v>
      </c>
      <c r="M26" s="47">
        <f t="shared" si="8"/>
        <v>0.49404761904761901</v>
      </c>
      <c r="N26" s="148">
        <f t="shared" si="1"/>
        <v>0</v>
      </c>
      <c r="O26" s="47">
        <f t="shared" si="9"/>
        <v>0</v>
      </c>
      <c r="P26" s="48">
        <f t="shared" si="2"/>
        <v>0.49404761904761901</v>
      </c>
      <c r="Q26" s="104"/>
      <c r="R26" s="104"/>
      <c r="S26" s="104"/>
      <c r="T26" s="104"/>
      <c r="V26" s="143">
        <f t="shared" si="10"/>
        <v>0.66666666666666663</v>
      </c>
      <c r="W26" s="144">
        <f t="shared" si="11"/>
        <v>0.79166666666666663</v>
      </c>
      <c r="X26" s="143">
        <f t="shared" si="12"/>
        <v>0.83333333333333337</v>
      </c>
      <c r="Y26" s="143">
        <f t="shared" si="13"/>
        <v>0.16666666666666666</v>
      </c>
    </row>
    <row r="27" spans="1:28" x14ac:dyDescent="0.2">
      <c r="A27" s="36">
        <f t="shared" si="3"/>
        <v>7</v>
      </c>
      <c r="B27" s="44">
        <f t="shared" si="14"/>
        <v>45311</v>
      </c>
      <c r="C27" s="45">
        <f t="shared" si="4"/>
        <v>45311</v>
      </c>
      <c r="D27" s="121"/>
      <c r="E27" s="141">
        <v>1600</v>
      </c>
      <c r="F27" s="141">
        <v>1900</v>
      </c>
      <c r="G27" s="141">
        <v>2000</v>
      </c>
      <c r="H27" s="141">
        <v>500</v>
      </c>
      <c r="I27" s="79">
        <f t="shared" si="5"/>
        <v>0.20832999999999999</v>
      </c>
      <c r="J27" s="79">
        <f t="shared" si="0"/>
        <v>0.29166666666666663</v>
      </c>
      <c r="K27" s="46">
        <f t="shared" si="6"/>
        <v>4.1666666666666685E-2</v>
      </c>
      <c r="L27" s="46">
        <f t="shared" si="7"/>
        <v>0.33333333333333331</v>
      </c>
      <c r="M27" s="47">
        <f t="shared" si="8"/>
        <v>0.54166666666666674</v>
      </c>
      <c r="N27" s="148">
        <f t="shared" si="1"/>
        <v>0.30555555555555552</v>
      </c>
      <c r="O27" s="47">
        <f t="shared" si="9"/>
        <v>0.23611111111111122</v>
      </c>
      <c r="P27" s="48">
        <f t="shared" si="2"/>
        <v>0</v>
      </c>
      <c r="Q27" s="104"/>
      <c r="R27" s="104"/>
      <c r="S27" s="104"/>
      <c r="T27" s="104"/>
      <c r="V27" s="143">
        <f t="shared" si="10"/>
        <v>0.66666666666666663</v>
      </c>
      <c r="W27" s="144">
        <f t="shared" si="11"/>
        <v>0.79166666666666663</v>
      </c>
      <c r="X27" s="143">
        <f t="shared" si="12"/>
        <v>0.83333333333333337</v>
      </c>
      <c r="Y27" s="143">
        <f t="shared" si="13"/>
        <v>0.20833333333333334</v>
      </c>
    </row>
    <row r="28" spans="1:28" x14ac:dyDescent="0.2">
      <c r="A28" s="36">
        <f t="shared" si="3"/>
        <v>1</v>
      </c>
      <c r="B28" s="44">
        <f t="shared" si="14"/>
        <v>45312</v>
      </c>
      <c r="C28" s="45">
        <f t="shared" si="4"/>
        <v>45312</v>
      </c>
      <c r="D28" s="121"/>
      <c r="E28" s="141">
        <v>1700</v>
      </c>
      <c r="F28" s="141">
        <v>2000</v>
      </c>
      <c r="G28" s="141">
        <v>2400</v>
      </c>
      <c r="H28" s="141">
        <v>500</v>
      </c>
      <c r="I28" s="79">
        <f t="shared" si="5"/>
        <v>0.125</v>
      </c>
      <c r="J28" s="79">
        <f t="shared" si="0"/>
        <v>0.20833333333333334</v>
      </c>
      <c r="K28" s="46">
        <f t="shared" si="6"/>
        <v>2.9761904761904767E-2</v>
      </c>
      <c r="L28" s="46">
        <f t="shared" si="7"/>
        <v>0.23809523809523811</v>
      </c>
      <c r="M28" s="47">
        <f t="shared" si="8"/>
        <v>0.36309523809523814</v>
      </c>
      <c r="N28" s="148">
        <f t="shared" si="1"/>
        <v>0.30555555555555552</v>
      </c>
      <c r="O28" s="47">
        <f t="shared" si="9"/>
        <v>5.7539682539682613E-2</v>
      </c>
      <c r="P28" s="48">
        <f t="shared" si="2"/>
        <v>0</v>
      </c>
      <c r="Q28" s="104"/>
      <c r="R28" s="104"/>
      <c r="S28" s="104"/>
      <c r="T28" s="104"/>
      <c r="V28" s="143">
        <f t="shared" si="10"/>
        <v>0.70833333333333337</v>
      </c>
      <c r="W28" s="144">
        <f t="shared" si="11"/>
        <v>0.83333333333333337</v>
      </c>
      <c r="X28" s="143">
        <f t="shared" si="12"/>
        <v>0</v>
      </c>
      <c r="Y28" s="143">
        <f t="shared" si="13"/>
        <v>0.20833333333333334</v>
      </c>
    </row>
    <row r="29" spans="1:28" x14ac:dyDescent="0.2">
      <c r="A29" s="36">
        <f t="shared" si="3"/>
        <v>2</v>
      </c>
      <c r="B29" s="44">
        <f t="shared" si="14"/>
        <v>45313</v>
      </c>
      <c r="C29" s="45">
        <f t="shared" si="4"/>
        <v>45313</v>
      </c>
      <c r="D29" s="121"/>
      <c r="E29" s="141">
        <v>1700</v>
      </c>
      <c r="F29" s="141">
        <v>1900</v>
      </c>
      <c r="G29" s="141">
        <v>2000</v>
      </c>
      <c r="H29" s="141">
        <v>600</v>
      </c>
      <c r="I29" s="79">
        <f t="shared" si="5"/>
        <v>0.20832999999999999</v>
      </c>
      <c r="J29" s="79">
        <f t="shared" si="0"/>
        <v>0.29166666666666663</v>
      </c>
      <c r="K29" s="46">
        <f t="shared" si="6"/>
        <v>4.1666666666666685E-2</v>
      </c>
      <c r="L29" s="46">
        <f t="shared" si="7"/>
        <v>0.33333333333333331</v>
      </c>
      <c r="M29" s="47">
        <f t="shared" si="8"/>
        <v>0.54166666666666652</v>
      </c>
      <c r="N29" s="148">
        <f t="shared" si="1"/>
        <v>0.30555555555555552</v>
      </c>
      <c r="O29" s="47">
        <f t="shared" si="9"/>
        <v>0.23611111111111099</v>
      </c>
      <c r="P29" s="48">
        <f t="shared" si="2"/>
        <v>0</v>
      </c>
      <c r="Q29" s="104"/>
      <c r="R29" s="104"/>
      <c r="S29" s="104"/>
      <c r="T29" s="104"/>
      <c r="V29" s="143">
        <f t="shared" si="10"/>
        <v>0.70833333333333337</v>
      </c>
      <c r="W29" s="144">
        <f t="shared" si="11"/>
        <v>0.79166666666666663</v>
      </c>
      <c r="X29" s="143">
        <f t="shared" si="12"/>
        <v>0.83333333333333337</v>
      </c>
      <c r="Y29" s="143">
        <f t="shared" si="13"/>
        <v>0.25</v>
      </c>
    </row>
    <row r="30" spans="1:28" x14ac:dyDescent="0.2">
      <c r="A30" s="36">
        <f t="shared" si="3"/>
        <v>3</v>
      </c>
      <c r="B30" s="44">
        <f t="shared" si="14"/>
        <v>45314</v>
      </c>
      <c r="C30" s="45">
        <f t="shared" si="4"/>
        <v>45314</v>
      </c>
      <c r="D30" s="121"/>
      <c r="E30" s="141">
        <v>1700</v>
      </c>
      <c r="F30" s="141">
        <v>1900</v>
      </c>
      <c r="G30" s="141">
        <v>2000</v>
      </c>
      <c r="H30" s="141">
        <v>700</v>
      </c>
      <c r="I30" s="79">
        <f t="shared" si="5"/>
        <v>0.25</v>
      </c>
      <c r="J30" s="79">
        <f t="shared" si="0"/>
        <v>0.29166666666666663</v>
      </c>
      <c r="K30" s="46">
        <f t="shared" si="6"/>
        <v>4.1666666666666685E-2</v>
      </c>
      <c r="L30" s="46">
        <f t="shared" si="7"/>
        <v>0.33333333333333331</v>
      </c>
      <c r="M30" s="47">
        <f t="shared" si="8"/>
        <v>0.58333333333333326</v>
      </c>
      <c r="N30" s="148">
        <f t="shared" si="1"/>
        <v>0.30555555555555552</v>
      </c>
      <c r="O30" s="47">
        <f t="shared" si="9"/>
        <v>0.27777777777777773</v>
      </c>
      <c r="P30" s="48">
        <f t="shared" si="2"/>
        <v>0</v>
      </c>
      <c r="Q30" s="104"/>
      <c r="R30" s="104"/>
      <c r="S30" s="104"/>
      <c r="T30" s="104"/>
      <c r="V30" s="143">
        <f t="shared" si="10"/>
        <v>0.70833333333333337</v>
      </c>
      <c r="W30" s="144">
        <f t="shared" si="11"/>
        <v>0.79166666666666663</v>
      </c>
      <c r="X30" s="143">
        <f t="shared" si="12"/>
        <v>0.83333333333333337</v>
      </c>
      <c r="Y30" s="143">
        <f t="shared" si="13"/>
        <v>0.29166666666666669</v>
      </c>
    </row>
    <row r="31" spans="1:28" x14ac:dyDescent="0.2">
      <c r="A31" s="36">
        <f t="shared" si="3"/>
        <v>4</v>
      </c>
      <c r="B31" s="44">
        <f t="shared" si="14"/>
        <v>45315</v>
      </c>
      <c r="C31" s="45">
        <f>IF(B31="","",IF(COUNTIF(fer,B31)&gt;0,"feriado",B31))</f>
        <v>45315</v>
      </c>
      <c r="D31" s="121"/>
      <c r="E31" s="141">
        <v>1700</v>
      </c>
      <c r="F31" s="141">
        <v>1900</v>
      </c>
      <c r="G31" s="141">
        <v>2000</v>
      </c>
      <c r="H31" s="141">
        <v>700</v>
      </c>
      <c r="I31" s="79">
        <f t="shared" si="5"/>
        <v>0.25</v>
      </c>
      <c r="J31" s="79">
        <f t="shared" si="0"/>
        <v>0.29166666666666663</v>
      </c>
      <c r="K31" s="46">
        <f t="shared" si="6"/>
        <v>4.1666666666666685E-2</v>
      </c>
      <c r="L31" s="46">
        <f t="shared" si="7"/>
        <v>0.33333333333333331</v>
      </c>
      <c r="M31" s="47">
        <f t="shared" si="8"/>
        <v>0.58333333333333326</v>
      </c>
      <c r="N31" s="148">
        <f t="shared" si="1"/>
        <v>0.30555555555555552</v>
      </c>
      <c r="O31" s="47">
        <f t="shared" si="9"/>
        <v>0.27777777777777773</v>
      </c>
      <c r="P31" s="48">
        <f t="shared" si="2"/>
        <v>0</v>
      </c>
      <c r="Q31" s="104"/>
      <c r="R31" s="104"/>
      <c r="S31" s="104"/>
      <c r="T31" s="104"/>
      <c r="V31" s="143">
        <f t="shared" si="10"/>
        <v>0.70833333333333337</v>
      </c>
      <c r="W31" s="144">
        <f t="shared" si="11"/>
        <v>0.79166666666666663</v>
      </c>
      <c r="X31" s="143">
        <f t="shared" si="12"/>
        <v>0.83333333333333337</v>
      </c>
      <c r="Y31" s="143">
        <f t="shared" si="13"/>
        <v>0.29166666666666669</v>
      </c>
    </row>
    <row r="32" spans="1:28" x14ac:dyDescent="0.2">
      <c r="A32" s="36">
        <f t="shared" si="3"/>
        <v>5</v>
      </c>
      <c r="B32" s="44">
        <f t="shared" si="14"/>
        <v>45316</v>
      </c>
      <c r="C32" s="45">
        <f t="shared" si="4"/>
        <v>45316</v>
      </c>
      <c r="D32" s="121" t="s">
        <v>15</v>
      </c>
      <c r="E32" s="141">
        <v>1700</v>
      </c>
      <c r="F32" s="141">
        <v>1900</v>
      </c>
      <c r="G32" s="141">
        <v>2000</v>
      </c>
      <c r="H32" s="141">
        <v>700</v>
      </c>
      <c r="I32" s="79">
        <f t="shared" si="5"/>
        <v>0.25</v>
      </c>
      <c r="J32" s="79">
        <f t="shared" si="0"/>
        <v>0.29166666666666663</v>
      </c>
      <c r="K32" s="46">
        <f t="shared" si="6"/>
        <v>4.1666666666666685E-2</v>
      </c>
      <c r="L32" s="46">
        <f t="shared" si="7"/>
        <v>0.33333333333333331</v>
      </c>
      <c r="M32" s="47">
        <f t="shared" si="8"/>
        <v>0.58333333333333326</v>
      </c>
      <c r="N32" s="148">
        <f t="shared" si="1"/>
        <v>0</v>
      </c>
      <c r="O32" s="47">
        <f t="shared" si="9"/>
        <v>0</v>
      </c>
      <c r="P32" s="48">
        <f t="shared" si="2"/>
        <v>0.58333333333333326</v>
      </c>
      <c r="Q32" s="104"/>
      <c r="R32" s="104"/>
      <c r="S32" s="104"/>
      <c r="T32" s="104"/>
      <c r="V32" s="143">
        <f t="shared" si="10"/>
        <v>0.70833333333333337</v>
      </c>
      <c r="W32" s="144">
        <f t="shared" si="11"/>
        <v>0.79166666666666663</v>
      </c>
      <c r="X32" s="143">
        <f t="shared" si="12"/>
        <v>0.83333333333333337</v>
      </c>
      <c r="Y32" s="143">
        <f t="shared" si="13"/>
        <v>0.29166666666666669</v>
      </c>
    </row>
    <row r="33" spans="1:25" x14ac:dyDescent="0.2">
      <c r="A33" s="36">
        <f t="shared" si="3"/>
        <v>6</v>
      </c>
      <c r="B33" s="44">
        <f t="shared" si="14"/>
        <v>45317</v>
      </c>
      <c r="C33" s="45">
        <f t="shared" si="4"/>
        <v>45317</v>
      </c>
      <c r="D33" s="121"/>
      <c r="E33" s="141">
        <v>1800</v>
      </c>
      <c r="F33" s="141">
        <v>2200</v>
      </c>
      <c r="G33" s="141">
        <v>2300</v>
      </c>
      <c r="H33" s="141">
        <v>700</v>
      </c>
      <c r="I33" s="79">
        <f t="shared" si="5"/>
        <v>0.25</v>
      </c>
      <c r="J33" s="79">
        <f t="shared" si="0"/>
        <v>0.24999999999999989</v>
      </c>
      <c r="K33" s="46">
        <f t="shared" si="6"/>
        <v>3.5714285714285698E-2</v>
      </c>
      <c r="L33" s="46">
        <f t="shared" si="7"/>
        <v>0.28571428571428559</v>
      </c>
      <c r="M33" s="47">
        <f t="shared" si="8"/>
        <v>0.53571428571428559</v>
      </c>
      <c r="N33" s="148">
        <f t="shared" si="1"/>
        <v>0.30555555555555552</v>
      </c>
      <c r="O33" s="47">
        <f t="shared" si="9"/>
        <v>0.23015873015873006</v>
      </c>
      <c r="P33" s="48">
        <f t="shared" si="2"/>
        <v>0</v>
      </c>
      <c r="Q33" s="104"/>
      <c r="R33" s="104"/>
      <c r="S33" s="104"/>
      <c r="T33" s="104"/>
      <c r="V33" s="143">
        <f t="shared" si="10"/>
        <v>0.75</v>
      </c>
      <c r="W33" s="144">
        <f t="shared" si="11"/>
        <v>0.91666666666666663</v>
      </c>
      <c r="X33" s="143">
        <f t="shared" si="12"/>
        <v>0.95833333333333337</v>
      </c>
      <c r="Y33" s="143">
        <f t="shared" si="13"/>
        <v>0.29166666666666669</v>
      </c>
    </row>
    <row r="34" spans="1:25" x14ac:dyDescent="0.2">
      <c r="A34" s="36">
        <f t="shared" si="3"/>
        <v>7</v>
      </c>
      <c r="B34" s="44">
        <f t="shared" si="14"/>
        <v>45318</v>
      </c>
      <c r="C34" s="45">
        <f t="shared" si="4"/>
        <v>45318</v>
      </c>
      <c r="D34" s="121"/>
      <c r="E34" s="141">
        <v>1800</v>
      </c>
      <c r="F34" s="141">
        <v>2200</v>
      </c>
      <c r="G34" s="141">
        <v>2300</v>
      </c>
      <c r="H34" s="141">
        <v>800</v>
      </c>
      <c r="I34" s="79">
        <f t="shared" si="5"/>
        <v>0.29166999999999998</v>
      </c>
      <c r="J34" s="79">
        <f t="shared" si="0"/>
        <v>0.24999999999999989</v>
      </c>
      <c r="K34" s="46">
        <f t="shared" si="6"/>
        <v>3.5714285714285698E-2</v>
      </c>
      <c r="L34" s="46">
        <f t="shared" si="7"/>
        <v>0.28571428571428559</v>
      </c>
      <c r="M34" s="47">
        <f t="shared" si="8"/>
        <v>0.57738095238095233</v>
      </c>
      <c r="N34" s="148">
        <f t="shared" si="1"/>
        <v>0.30555555555555552</v>
      </c>
      <c r="O34" s="47">
        <f t="shared" si="9"/>
        <v>0.2718253968253968</v>
      </c>
      <c r="P34" s="48">
        <f t="shared" si="2"/>
        <v>0</v>
      </c>
      <c r="Q34" s="104"/>
      <c r="R34" s="104"/>
      <c r="S34" s="104"/>
      <c r="T34" s="104"/>
      <c r="V34" s="143">
        <f t="shared" si="10"/>
        <v>0.75</v>
      </c>
      <c r="W34" s="144">
        <f t="shared" si="11"/>
        <v>0.91666666666666663</v>
      </c>
      <c r="X34" s="143">
        <f t="shared" si="12"/>
        <v>0.95833333333333337</v>
      </c>
      <c r="Y34" s="143">
        <f t="shared" si="13"/>
        <v>0.33333333333333331</v>
      </c>
    </row>
    <row r="35" spans="1:25" x14ac:dyDescent="0.2">
      <c r="A35" s="36">
        <f t="shared" si="3"/>
        <v>1</v>
      </c>
      <c r="B35" s="44">
        <f t="shared" si="14"/>
        <v>45319</v>
      </c>
      <c r="C35" s="45">
        <f t="shared" si="4"/>
        <v>45319</v>
      </c>
      <c r="D35" s="121"/>
      <c r="E35" s="141">
        <v>1800</v>
      </c>
      <c r="F35" s="141">
        <v>2200</v>
      </c>
      <c r="G35" s="141">
        <v>2300</v>
      </c>
      <c r="H35" s="141">
        <v>900</v>
      </c>
      <c r="I35" s="79">
        <f t="shared" si="5"/>
        <v>0.33333000000000002</v>
      </c>
      <c r="J35" s="79">
        <f t="shared" si="0"/>
        <v>0.24999999999999989</v>
      </c>
      <c r="K35" s="46">
        <f t="shared" si="6"/>
        <v>3.5714285714285698E-2</v>
      </c>
      <c r="L35" s="46">
        <f t="shared" si="7"/>
        <v>0.28571428571428559</v>
      </c>
      <c r="M35" s="47">
        <f t="shared" si="8"/>
        <v>0.61904761904761896</v>
      </c>
      <c r="N35" s="148">
        <f t="shared" si="1"/>
        <v>0.30555555555555552</v>
      </c>
      <c r="O35" s="47">
        <f t="shared" si="9"/>
        <v>0.31349206349206343</v>
      </c>
      <c r="P35" s="48">
        <f t="shared" si="2"/>
        <v>0</v>
      </c>
      <c r="Q35" s="104"/>
      <c r="R35" s="104"/>
      <c r="S35" s="104"/>
      <c r="T35" s="104"/>
      <c r="V35" s="143">
        <f t="shared" si="10"/>
        <v>0.75</v>
      </c>
      <c r="W35" s="144">
        <f t="shared" si="11"/>
        <v>0.91666666666666663</v>
      </c>
      <c r="X35" s="143">
        <f t="shared" si="12"/>
        <v>0.95833333333333337</v>
      </c>
      <c r="Y35" s="143">
        <f t="shared" si="13"/>
        <v>0.375</v>
      </c>
    </row>
    <row r="36" spans="1:25" x14ac:dyDescent="0.2">
      <c r="A36" s="36">
        <f t="shared" si="3"/>
        <v>2</v>
      </c>
      <c r="B36" s="44">
        <f>IF(B35="","",IF(B35&gt;=fim,"",B35+1))</f>
        <v>45320</v>
      </c>
      <c r="C36" s="45">
        <f t="shared" si="4"/>
        <v>45320</v>
      </c>
      <c r="D36" s="121"/>
      <c r="E36" s="141">
        <v>1800</v>
      </c>
      <c r="F36" s="141">
        <v>2200</v>
      </c>
      <c r="G36" s="141">
        <v>2215</v>
      </c>
      <c r="H36" s="141">
        <v>800</v>
      </c>
      <c r="I36" s="79">
        <f t="shared" si="5"/>
        <v>0.29166999999999998</v>
      </c>
      <c r="J36" s="79">
        <f t="shared" si="0"/>
        <v>0.28124999999999989</v>
      </c>
      <c r="K36" s="46">
        <f t="shared" si="6"/>
        <v>4.0178571428571397E-2</v>
      </c>
      <c r="L36" s="46">
        <f t="shared" si="7"/>
        <v>0.32142857142857129</v>
      </c>
      <c r="M36" s="47">
        <f t="shared" si="8"/>
        <v>0.61309523809523803</v>
      </c>
      <c r="N36" s="148">
        <f t="shared" si="1"/>
        <v>0.30555555555555552</v>
      </c>
      <c r="O36" s="47">
        <f t="shared" si="9"/>
        <v>0.3075396825396825</v>
      </c>
      <c r="P36" s="48">
        <f t="shared" si="2"/>
        <v>0</v>
      </c>
      <c r="Q36" s="104"/>
      <c r="R36" s="104"/>
      <c r="S36" s="104"/>
      <c r="T36" s="104"/>
      <c r="V36" s="143">
        <f t="shared" si="10"/>
        <v>0.75</v>
      </c>
      <c r="W36" s="144">
        <f t="shared" si="11"/>
        <v>0.91666666666666663</v>
      </c>
      <c r="X36" s="143">
        <f t="shared" si="12"/>
        <v>0.92708333333333337</v>
      </c>
      <c r="Y36" s="143">
        <f t="shared" si="13"/>
        <v>0.33333333333333331</v>
      </c>
    </row>
    <row r="37" spans="1:25" x14ac:dyDescent="0.2">
      <c r="A37" s="36">
        <f t="shared" si="3"/>
        <v>3</v>
      </c>
      <c r="B37" s="44">
        <f>IF(B36="","",IF(B36&gt;=fim,"",B36+1))</f>
        <v>45321</v>
      </c>
      <c r="C37" s="45">
        <f t="shared" si="4"/>
        <v>45321</v>
      </c>
      <c r="D37" s="121" t="s">
        <v>15</v>
      </c>
      <c r="E37" s="141">
        <v>1800</v>
      </c>
      <c r="F37" s="141">
        <v>2200</v>
      </c>
      <c r="G37" s="141">
        <v>2200</v>
      </c>
      <c r="H37" s="141">
        <v>800</v>
      </c>
      <c r="I37" s="79">
        <f t="shared" si="5"/>
        <v>0.29166999999999998</v>
      </c>
      <c r="J37" s="79">
        <f t="shared" si="0"/>
        <v>0.29166666666666663</v>
      </c>
      <c r="K37" s="46">
        <f t="shared" si="6"/>
        <v>4.1666666666666685E-2</v>
      </c>
      <c r="L37" s="46">
        <f t="shared" si="7"/>
        <v>0.33333333333333331</v>
      </c>
      <c r="M37" s="47">
        <f t="shared" si="8"/>
        <v>0.625</v>
      </c>
      <c r="N37" s="148">
        <f t="shared" si="1"/>
        <v>0</v>
      </c>
      <c r="O37" s="47">
        <f t="shared" si="9"/>
        <v>0</v>
      </c>
      <c r="P37" s="48">
        <f t="shared" si="2"/>
        <v>0.625</v>
      </c>
      <c r="Q37" s="104"/>
      <c r="R37" s="104"/>
      <c r="S37" s="104"/>
      <c r="T37" s="104"/>
      <c r="V37" s="143">
        <f t="shared" si="10"/>
        <v>0.75</v>
      </c>
      <c r="W37" s="144">
        <f t="shared" si="11"/>
        <v>0.91666666666666663</v>
      </c>
      <c r="X37" s="143">
        <f t="shared" si="12"/>
        <v>0.91666666666666663</v>
      </c>
      <c r="Y37" s="143">
        <f t="shared" si="13"/>
        <v>0.33333333333333331</v>
      </c>
    </row>
    <row r="38" spans="1:25" x14ac:dyDescent="0.2">
      <c r="A38" s="36">
        <f t="shared" si="3"/>
        <v>4</v>
      </c>
      <c r="B38" s="49">
        <f>IF(B37="","",IF(B37&gt;=fim,"",B37+1))</f>
        <v>45322</v>
      </c>
      <c r="C38" s="50">
        <f t="shared" si="4"/>
        <v>45322</v>
      </c>
      <c r="D38" s="122"/>
      <c r="E38" s="142"/>
      <c r="F38" s="141"/>
      <c r="G38" s="141"/>
      <c r="H38" s="142"/>
      <c r="I38" s="89">
        <f t="shared" si="5"/>
        <v>0</v>
      </c>
      <c r="J38" s="89">
        <f t="shared" si="0"/>
        <v>0</v>
      </c>
      <c r="K38" s="51">
        <f t="shared" si="6"/>
        <v>0</v>
      </c>
      <c r="L38" s="51">
        <f t="shared" si="7"/>
        <v>0</v>
      </c>
      <c r="M38" s="52">
        <f t="shared" si="8"/>
        <v>0</v>
      </c>
      <c r="N38" s="147">
        <f t="shared" si="1"/>
        <v>0.30555555555555552</v>
      </c>
      <c r="O38" s="52">
        <f t="shared" si="9"/>
        <v>0</v>
      </c>
      <c r="P38" s="53">
        <f t="shared" si="2"/>
        <v>0</v>
      </c>
      <c r="Q38" s="104"/>
      <c r="R38" s="104"/>
      <c r="S38" s="104"/>
      <c r="T38" s="104"/>
      <c r="V38" s="145">
        <f t="shared" si="10"/>
        <v>0</v>
      </c>
      <c r="W38" s="146">
        <f t="shared" si="11"/>
        <v>0</v>
      </c>
      <c r="X38" s="145">
        <f t="shared" si="12"/>
        <v>0</v>
      </c>
      <c r="Y38" s="145">
        <f t="shared" si="13"/>
        <v>0</v>
      </c>
    </row>
    <row r="39" spans="1:25" x14ac:dyDescent="0.2">
      <c r="B39" s="62" t="s">
        <v>25</v>
      </c>
      <c r="C39" s="62" t="s">
        <v>26</v>
      </c>
      <c r="D39" s="62"/>
      <c r="E39" s="62" t="s">
        <v>31</v>
      </c>
      <c r="F39" s="62" t="s">
        <v>32</v>
      </c>
      <c r="G39" s="62" t="s">
        <v>33</v>
      </c>
      <c r="H39" s="62" t="s">
        <v>34</v>
      </c>
      <c r="I39" s="70" t="s">
        <v>35</v>
      </c>
      <c r="J39" s="71" t="s">
        <v>36</v>
      </c>
      <c r="K39" s="72" t="s">
        <v>37</v>
      </c>
      <c r="L39" s="73">
        <f>SUM(L8:L38)</f>
        <v>5.5238095238095237</v>
      </c>
      <c r="M39" s="73">
        <f>SUM(M8:M38)</f>
        <v>13.617559523809524</v>
      </c>
      <c r="N39" s="67" t="s">
        <v>37</v>
      </c>
      <c r="O39" s="73">
        <f>SUM(O8:O38)</f>
        <v>3.8397817460317456</v>
      </c>
      <c r="P39" s="73">
        <f>SUM(P8:P38)</f>
        <v>2.75</v>
      </c>
      <c r="Q39" s="105"/>
      <c r="R39" s="105"/>
      <c r="S39" s="105"/>
      <c r="T39" s="105"/>
    </row>
    <row r="40" spans="1:25" x14ac:dyDescent="0.2">
      <c r="B40" s="63">
        <f>B8</f>
        <v>45292</v>
      </c>
      <c r="C40" s="63">
        <f>MAX(B8:B38)</f>
        <v>45322</v>
      </c>
      <c r="D40" s="63"/>
      <c r="E40" s="64">
        <f>COUNTIF(C8:C38,"feriado")</f>
        <v>1</v>
      </c>
      <c r="F40" s="65">
        <f ca="1">SUMPRODUCT((WEEKDAY(ROW(INDIRECT($B40&amp;":"&amp;$C40)))=1)*(COUNTIF(fer,ROW(INDIRECT($B40&amp;":"&amp;$C40)))=0))</f>
        <v>4</v>
      </c>
      <c r="G40" s="65">
        <f>C40-B40+1</f>
        <v>31</v>
      </c>
      <c r="H40" s="65">
        <f ca="1">G40-I40</f>
        <v>26</v>
      </c>
      <c r="I40" s="69">
        <f ca="1">E40+F40</f>
        <v>5</v>
      </c>
      <c r="J40" s="74" t="str">
        <f ca="1">H40&amp;"/"&amp;I40</f>
        <v>26/5</v>
      </c>
      <c r="K40" s="75" t="s">
        <v>38</v>
      </c>
      <c r="L40" s="66">
        <f>L39*24</f>
        <v>132.57142857142856</v>
      </c>
      <c r="M40" s="66">
        <f>M39*24</f>
        <v>326.82142857142856</v>
      </c>
      <c r="N40" s="67" t="s">
        <v>38</v>
      </c>
      <c r="O40" s="66">
        <f>O39*24</f>
        <v>92.154761904761898</v>
      </c>
      <c r="P40" s="66">
        <f>P39*24</f>
        <v>66</v>
      </c>
      <c r="Q40" s="106"/>
      <c r="R40" s="106"/>
      <c r="S40" s="106"/>
      <c r="T40" s="106"/>
    </row>
    <row r="41" spans="1:25" x14ac:dyDescent="0.2">
      <c r="B41" s="131" t="str">
        <f>IF(dia_f="","",DATE(ano_p,mês_p,1))</f>
        <v/>
      </c>
      <c r="C41" s="132" t="str">
        <f>IF(dia_f="","",DATE(ano_p,mês_p+1,0))</f>
        <v/>
      </c>
      <c r="D41" s="76"/>
      <c r="E41" s="64" t="str">
        <f>IF(B41="","",SUMPRODUCT(((WEEKDAY(fer)&gt;1))*(fer&gt;=B41)*(fer&lt;=C41)))</f>
        <v/>
      </c>
      <c r="F41" s="65" t="str">
        <f ca="1">IF(B41="","",SUMPRODUCT((WEEKDAY(ROW(INDIRECT($B41&amp;":"&amp;$C41)))=1)*1))</f>
        <v/>
      </c>
      <c r="G41" s="123" t="str">
        <f>IF(B41="","",DAY(C41))</f>
        <v/>
      </c>
      <c r="H41" s="123" t="str">
        <f ca="1">IF(B41="","",SUMPRODUCT((WEEKDAY(ROW(INDIRECT(B41&amp;":"&amp;C41)))&gt;1)*(COUNTIF(fer,ROW(INDIRECT(B41&amp;":"&amp;C41)))=0)))</f>
        <v/>
      </c>
      <c r="I41" s="69" t="str">
        <f>IF(B41="","",E41+F41)</f>
        <v/>
      </c>
      <c r="J41" s="74" t="str">
        <f>IF(B41="","",H41&amp;"/"&amp;I41)</f>
        <v/>
      </c>
      <c r="K41" s="76" t="s">
        <v>39</v>
      </c>
      <c r="L41" s="66">
        <f ca="1">L40/$H$40*$I$40</f>
        <v>25.494505494505493</v>
      </c>
      <c r="M41" s="78"/>
      <c r="N41" s="68" t="s">
        <v>39</v>
      </c>
      <c r="O41" s="66">
        <f ca="1">O40/$H$40*$I$40</f>
        <v>17.722069597069595</v>
      </c>
      <c r="P41" s="66">
        <f ca="1">P40/$H$40*$I$40</f>
        <v>12.692307692307692</v>
      </c>
      <c r="Q41" s="106"/>
      <c r="R41" s="106"/>
      <c r="S41" s="106"/>
      <c r="T41" s="106"/>
    </row>
    <row r="42" spans="1:25" x14ac:dyDescent="0.2">
      <c r="K42" s="134" t="str">
        <f>IF(B41="","","Dsr mês:")</f>
        <v/>
      </c>
      <c r="L42" s="83" t="str">
        <f>IF(B41="","",L40/H41*I41)</f>
        <v/>
      </c>
      <c r="M42" s="162" t="str">
        <f>IF(B41="","","Dsr mês:")</f>
        <v/>
      </c>
      <c r="N42" s="162"/>
      <c r="O42" s="135" t="str">
        <f>IF(B41="","",O40/$H$41*$I$41)</f>
        <v/>
      </c>
      <c r="P42" s="135" t="str">
        <f>IF(B41="","",P40/$H$41*$I$41)</f>
        <v/>
      </c>
    </row>
    <row r="44" spans="1:25" ht="18.75" x14ac:dyDescent="0.2">
      <c r="C44" s="81"/>
      <c r="H44" s="1"/>
      <c r="I44" s="1"/>
      <c r="J44" s="1"/>
      <c r="K44" s="1"/>
      <c r="L44" s="1"/>
    </row>
    <row r="116" spans="4:20" x14ac:dyDescent="0.2">
      <c r="S116" s="86">
        <f>IF(dia_f="",DATE(ano_p,mês_p,1),DATE(ano_p,mês_p-1,dia_f+1))</f>
        <v>45292</v>
      </c>
      <c r="T116" s="80" t="s">
        <v>40</v>
      </c>
    </row>
    <row r="117" spans="4:20" x14ac:dyDescent="0.2">
      <c r="S117" s="86">
        <f>IF(dia_f="",DATE(ano_p,mês_p+1,0),(DATE($T$22,mês_p,dia_f)))</f>
        <v>45322</v>
      </c>
      <c r="T117" s="80" t="s">
        <v>41</v>
      </c>
    </row>
    <row r="119" spans="4:20" x14ac:dyDescent="0.2">
      <c r="D119" s="80" t="s">
        <v>42</v>
      </c>
      <c r="F119" s="80" t="s">
        <v>43</v>
      </c>
    </row>
    <row r="120" spans="4:20" x14ac:dyDescent="0.2">
      <c r="D120" s="133">
        <v>1</v>
      </c>
      <c r="F120" s="136">
        <v>2020</v>
      </c>
    </row>
    <row r="121" spans="4:20" x14ac:dyDescent="0.2">
      <c r="D121" s="137">
        <v>2</v>
      </c>
      <c r="F121" s="136">
        <v>2021</v>
      </c>
    </row>
    <row r="122" spans="4:20" x14ac:dyDescent="0.2">
      <c r="D122" s="137">
        <v>3</v>
      </c>
      <c r="F122" s="136">
        <v>2022</v>
      </c>
    </row>
    <row r="123" spans="4:20" x14ac:dyDescent="0.2">
      <c r="D123" s="138">
        <v>4</v>
      </c>
      <c r="F123" s="136">
        <v>2023</v>
      </c>
    </row>
    <row r="124" spans="4:20" x14ac:dyDescent="0.2">
      <c r="D124" s="138">
        <v>5</v>
      </c>
      <c r="F124" s="136">
        <v>2024</v>
      </c>
    </row>
    <row r="125" spans="4:20" x14ac:dyDescent="0.2">
      <c r="D125" s="138">
        <v>6</v>
      </c>
      <c r="F125" s="136">
        <v>2025</v>
      </c>
    </row>
    <row r="126" spans="4:20" x14ac:dyDescent="0.2">
      <c r="D126" s="138">
        <v>7</v>
      </c>
      <c r="F126" s="136">
        <v>2026</v>
      </c>
    </row>
    <row r="127" spans="4:20" x14ac:dyDescent="0.2">
      <c r="D127" s="138">
        <v>8</v>
      </c>
      <c r="F127" s="136">
        <v>2027</v>
      </c>
    </row>
    <row r="128" spans="4:20" x14ac:dyDescent="0.2">
      <c r="D128" s="138">
        <v>9</v>
      </c>
      <c r="F128" s="136">
        <v>2028</v>
      </c>
    </row>
    <row r="129" spans="4:6" x14ac:dyDescent="0.2">
      <c r="D129" s="138">
        <v>10</v>
      </c>
      <c r="F129" s="136">
        <v>2029</v>
      </c>
    </row>
    <row r="130" spans="4:6" x14ac:dyDescent="0.2">
      <c r="D130" s="138">
        <v>11</v>
      </c>
      <c r="F130" s="136">
        <v>2030</v>
      </c>
    </row>
    <row r="131" spans="4:6" x14ac:dyDescent="0.2">
      <c r="D131" s="138">
        <v>12</v>
      </c>
      <c r="F131" s="136">
        <v>2031</v>
      </c>
    </row>
    <row r="150" spans="2:4" x14ac:dyDescent="0.2">
      <c r="B150" s="80"/>
      <c r="C150" s="81"/>
      <c r="D150" s="81"/>
    </row>
    <row r="151" spans="2:4" x14ac:dyDescent="0.2">
      <c r="B151" s="80"/>
      <c r="C151" s="81"/>
      <c r="D151" s="81"/>
    </row>
  </sheetData>
  <mergeCells count="9">
    <mergeCell ref="V2:Z4"/>
    <mergeCell ref="H2:H3"/>
    <mergeCell ref="O2:O4"/>
    <mergeCell ref="M42:N42"/>
    <mergeCell ref="B5:C5"/>
    <mergeCell ref="S7:T7"/>
    <mergeCell ref="S17:T17"/>
    <mergeCell ref="S20:T20"/>
    <mergeCell ref="V5:Y6"/>
  </mergeCells>
  <phoneticPr fontId="8" type="noConversion"/>
  <conditionalFormatting sqref="B8:C38">
    <cfRule type="expression" dxfId="8" priority="14">
      <formula>WEEKDAY($B8,2)=7</formula>
    </cfRule>
    <cfRule type="expression" dxfId="7" priority="15">
      <formula>COUNTIF(fer,$B8)&gt;0</formula>
    </cfRule>
  </conditionalFormatting>
  <conditionalFormatting sqref="D8:D38">
    <cfRule type="cellIs" dxfId="6" priority="9" operator="equal">
      <formula>"F"</formula>
    </cfRule>
  </conditionalFormatting>
  <conditionalFormatting sqref="E8:P38">
    <cfRule type="expression" dxfId="5" priority="1">
      <formula>$D8="F"</formula>
    </cfRule>
  </conditionalFormatting>
  <conditionalFormatting sqref="K42">
    <cfRule type="expression" dxfId="4" priority="8">
      <formula>$B$41&lt;&gt;""</formula>
    </cfRule>
  </conditionalFormatting>
  <conditionalFormatting sqref="L42">
    <cfRule type="expression" dxfId="3" priority="7">
      <formula>$B$41&lt;&gt;""</formula>
    </cfRule>
  </conditionalFormatting>
  <conditionalFormatting sqref="M42:N42">
    <cfRule type="expression" dxfId="2" priority="6">
      <formula>$B$41&lt;&gt;""</formula>
    </cfRule>
  </conditionalFormatting>
  <conditionalFormatting sqref="O42:P42">
    <cfRule type="expression" dxfId="1" priority="4">
      <formula>$B$41&lt;&gt;""</formula>
    </cfRule>
  </conditionalFormatting>
  <dataValidations count="3">
    <dataValidation type="list" allowBlank="1" showInputMessage="1" showErrorMessage="1" sqref="T23" xr:uid="{00000000-0002-0000-0000-000000000000}">
      <formula1>$D$120:$D$131</formula1>
    </dataValidation>
    <dataValidation type="list" allowBlank="1" showInputMessage="1" showErrorMessage="1" sqref="T22" xr:uid="{00000000-0002-0000-0000-000001000000}">
      <formula1>$F$120:$F$131</formula1>
    </dataValidation>
    <dataValidation type="custom" allowBlank="1" showInputMessage="1" showErrorMessage="1" sqref="E8:H38" xr:uid="{00000000-0002-0000-0000-000002000000}">
      <formula1>OR(E8=2400,TEXT(E8,"00\:00")=TEXT(V8,"hh:mm"))</formula1>
    </dataValidation>
  </dataValidations>
  <pageMargins left="0.75" right="0.75" top="1" bottom="1" header="0.49212598499999999" footer="0.49212598499999999"/>
  <pageSetup paperSize="9" scale="83" orientation="landscape" r:id="rId1"/>
  <headerFooter alignWithMargins="0"/>
  <colBreaks count="1" manualBreakCount="1">
    <brk id="2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theme="4" tint="-0.249977111117893"/>
  </sheetPr>
  <dimension ref="A1:X36"/>
  <sheetViews>
    <sheetView showGridLines="0" workbookViewId="0">
      <selection activeCell="F5" sqref="E5:F18"/>
    </sheetView>
  </sheetViews>
  <sheetFormatPr defaultRowHeight="12.75" x14ac:dyDescent="0.2"/>
  <cols>
    <col min="1" max="1" width="4.7109375" customWidth="1"/>
    <col min="2" max="2" width="6.7109375" customWidth="1"/>
    <col min="3" max="3" width="26.42578125" customWidth="1"/>
    <col min="4" max="4" width="14.42578125" customWidth="1"/>
    <col min="5" max="6" width="10.7109375" bestFit="1" customWidth="1"/>
    <col min="7" max="7" width="12.42578125" customWidth="1"/>
    <col min="22" max="23" width="0" hidden="1" customWidth="1"/>
    <col min="24" max="24" width="10.140625" hidden="1" customWidth="1"/>
    <col min="25" max="25" width="0" hidden="1" customWidth="1"/>
  </cols>
  <sheetData>
    <row r="1" spans="1:24" ht="20.100000000000001" customHeight="1" x14ac:dyDescent="0.2">
      <c r="A1" s="180" t="s">
        <v>44</v>
      </c>
      <c r="B1" s="180"/>
      <c r="C1" s="54" t="s">
        <v>45</v>
      </c>
      <c r="D1" s="180" t="s">
        <v>46</v>
      </c>
      <c r="E1" s="180"/>
    </row>
    <row r="2" spans="1:24" ht="20.100000000000001" customHeight="1" x14ac:dyDescent="0.25">
      <c r="A2" s="34"/>
      <c r="B2" s="35">
        <f>ano_p</f>
        <v>2024</v>
      </c>
      <c r="C2" s="91">
        <f>ROUND(DATE($B$2,4,MOD(234-11*MOD($B$2,19),30))/7,)*7-6</f>
        <v>45382</v>
      </c>
      <c r="D2" s="58" t="s">
        <v>47</v>
      </c>
      <c r="E2" s="60">
        <f>ININOT</f>
        <v>0.91666666666666663</v>
      </c>
    </row>
    <row r="3" spans="1:24" ht="20.100000000000001" customHeight="1" x14ac:dyDescent="0.2">
      <c r="A3" s="55"/>
      <c r="B3" s="56"/>
      <c r="C3" s="57"/>
      <c r="D3" s="59" t="s">
        <v>48</v>
      </c>
      <c r="E3" s="61">
        <f>FIMNOT</f>
        <v>0.20833333333333334</v>
      </c>
    </row>
    <row r="4" spans="1:24" ht="15" x14ac:dyDescent="0.2">
      <c r="A4" s="181" t="s">
        <v>49</v>
      </c>
      <c r="B4" s="182"/>
      <c r="C4" s="182"/>
      <c r="D4" s="182"/>
      <c r="E4" s="182"/>
      <c r="F4" s="182"/>
      <c r="G4" s="98"/>
    </row>
    <row r="5" spans="1:24" ht="18" customHeight="1" x14ac:dyDescent="0.25">
      <c r="A5" s="172" t="s">
        <v>50</v>
      </c>
      <c r="B5" s="17" t="s">
        <v>51</v>
      </c>
      <c r="C5" s="14" t="s">
        <v>52</v>
      </c>
      <c r="D5" s="90">
        <f>IF($B$5="X",DATE($B$2-1,1,1),DATE(1905,1,1))</f>
        <v>44927</v>
      </c>
      <c r="E5" s="90">
        <f>IF($B$5="X",DATE($B$2,1,1),DATE(1905,1,1))</f>
        <v>45292</v>
      </c>
      <c r="F5" s="90">
        <f>IF($B$5="X",DATE($B$2+1,1,1),DATE(1905,1,1))</f>
        <v>45658</v>
      </c>
      <c r="G5" s="103">
        <f>ROUND(DATE($B$2-1,4,MOD(234-11*MOD($B$2-1,19),30))/7,)*7-6</f>
        <v>45025</v>
      </c>
      <c r="V5" s="36">
        <v>1</v>
      </c>
      <c r="W5" s="36">
        <v>1</v>
      </c>
      <c r="X5" s="37">
        <f>DATE(1905,1,1)</f>
        <v>1828</v>
      </c>
    </row>
    <row r="6" spans="1:24" ht="18" customHeight="1" x14ac:dyDescent="0.25">
      <c r="A6" s="173"/>
      <c r="B6" s="18" t="s">
        <v>51</v>
      </c>
      <c r="C6" s="15" t="s">
        <v>53</v>
      </c>
      <c r="D6" s="16">
        <f>IF($B$6="X",DATE($B$2-1,4,21),DATE(1905,1,1))</f>
        <v>45037</v>
      </c>
      <c r="E6" s="100">
        <f>IF($B$6="X",DATE($B$2,4,21),DATE(1905,1,1))</f>
        <v>45403</v>
      </c>
      <c r="F6" s="100">
        <f>IF($B$6="X",DATE($B$2+1,4,21),DATE(1905,1,1))</f>
        <v>45768</v>
      </c>
      <c r="G6" s="103">
        <f>ROUND(DATE($B$2+1,4,MOD(234-11*MOD($B$2+1,19),30))/7,)*7-6</f>
        <v>45767</v>
      </c>
      <c r="V6" s="36">
        <v>2</v>
      </c>
      <c r="W6" s="36">
        <v>2</v>
      </c>
      <c r="X6" s="36"/>
    </row>
    <row r="7" spans="1:24" ht="18" customHeight="1" x14ac:dyDescent="0.25">
      <c r="A7" s="173"/>
      <c r="B7" s="18" t="s">
        <v>51</v>
      </c>
      <c r="C7" s="15" t="s">
        <v>54</v>
      </c>
      <c r="D7" s="16">
        <f>IF($B$7="X",DATE($B$2-1,5,1),DATE(1905,1,1))</f>
        <v>45047</v>
      </c>
      <c r="E7" s="100">
        <f>IF($B$7="X",DATE($B$2,5,1),DATE(1905,1,1))</f>
        <v>45413</v>
      </c>
      <c r="F7" s="100">
        <f>IF($B$7="X",DATE($B$2+1,5,1),DATE(1905,1,1))</f>
        <v>45778</v>
      </c>
      <c r="G7" s="6"/>
      <c r="V7" s="36">
        <v>3</v>
      </c>
      <c r="W7" s="36">
        <v>3</v>
      </c>
      <c r="X7" s="36"/>
    </row>
    <row r="8" spans="1:24" ht="18" customHeight="1" x14ac:dyDescent="0.25">
      <c r="A8" s="173"/>
      <c r="B8" s="18" t="s">
        <v>51</v>
      </c>
      <c r="C8" s="15" t="s">
        <v>55</v>
      </c>
      <c r="D8" s="16">
        <f>IF($B$8="X",DATE($B$2-1,9,7),DATE(1905,1,1))</f>
        <v>45176</v>
      </c>
      <c r="E8" s="100">
        <f>IF($B$8="X",DATE($B$2,9,7),DATE(1905,1,1))</f>
        <v>45542</v>
      </c>
      <c r="F8" s="100">
        <f>IF($B$8="X",DATE($B$2+1,9,7),DATE(1905,1,1))</f>
        <v>45907</v>
      </c>
      <c r="G8" s="6"/>
      <c r="V8" s="36">
        <v>4</v>
      </c>
      <c r="W8" s="36">
        <v>4</v>
      </c>
      <c r="X8" s="36"/>
    </row>
    <row r="9" spans="1:24" ht="18" customHeight="1" x14ac:dyDescent="0.25">
      <c r="A9" s="173"/>
      <c r="B9" s="18" t="s">
        <v>51</v>
      </c>
      <c r="C9" s="15" t="s">
        <v>56</v>
      </c>
      <c r="D9" s="16">
        <f>IF($B$9="X",DATE($B$2-1,10,12),DATE(1905,1,1))</f>
        <v>45211</v>
      </c>
      <c r="E9" s="100">
        <f>IF($B$9="X",DATE($B$2,10,12),DATE(1905,1,1))</f>
        <v>45577</v>
      </c>
      <c r="F9" s="100">
        <f>IF($B$9="X",DATE($B$2+1,10,12),DATE(1905,1,1))</f>
        <v>45942</v>
      </c>
      <c r="G9" s="6"/>
      <c r="V9" s="36">
        <v>5</v>
      </c>
      <c r="W9" s="36">
        <v>5</v>
      </c>
      <c r="X9" s="36"/>
    </row>
    <row r="10" spans="1:24" ht="18" customHeight="1" x14ac:dyDescent="0.25">
      <c r="A10" s="173"/>
      <c r="B10" s="18" t="s">
        <v>51</v>
      </c>
      <c r="C10" s="15" t="s">
        <v>57</v>
      </c>
      <c r="D10" s="16">
        <f>IF($B$10="X",DATE($B$2-1,11,2),DATE(1905,1,1))</f>
        <v>45232</v>
      </c>
      <c r="E10" s="100">
        <f>IF($B$10="X",DATE($B$2,11,2),DATE(1905,1,1))</f>
        <v>45598</v>
      </c>
      <c r="F10" s="100">
        <f>IF($B$10="X",DATE($B$2+1,11,2),DATE(1905,1,1))</f>
        <v>45963</v>
      </c>
      <c r="G10" s="6"/>
      <c r="V10" s="36">
        <v>6</v>
      </c>
      <c r="W10" s="36">
        <v>6</v>
      </c>
      <c r="X10" s="36"/>
    </row>
    <row r="11" spans="1:24" ht="18" customHeight="1" x14ac:dyDescent="0.25">
      <c r="A11" s="173"/>
      <c r="B11" s="18" t="s">
        <v>51</v>
      </c>
      <c r="C11" s="15" t="s">
        <v>58</v>
      </c>
      <c r="D11" s="16">
        <f>IF($B$11="X",DATE($B$2-1,11,15),DATE(1905,1,1))</f>
        <v>45245</v>
      </c>
      <c r="E11" s="100">
        <f>IF($B$11="X",DATE($B$2,11,15),DATE(1905,1,1))</f>
        <v>45611</v>
      </c>
      <c r="F11" s="100">
        <f>IF($B$11="X",DATE($B$2+1,11,15),DATE(1905,1,1))</f>
        <v>45976</v>
      </c>
      <c r="G11" s="6"/>
      <c r="V11" s="36">
        <v>7</v>
      </c>
      <c r="W11" s="36">
        <v>7</v>
      </c>
      <c r="X11" s="36"/>
    </row>
    <row r="12" spans="1:24" ht="18" customHeight="1" x14ac:dyDescent="0.25">
      <c r="A12" s="183"/>
      <c r="B12" s="184" t="s">
        <v>51</v>
      </c>
      <c r="C12" s="185" t="s">
        <v>71</v>
      </c>
      <c r="D12" s="16">
        <f>IF($B$12="X",DATE($B$2-1,11,20),DATE(1905,1,1))</f>
        <v>45250</v>
      </c>
      <c r="E12" s="100">
        <f>IF($B$12="X",DATE($B$2,11,20),DATE(1905,1,1))</f>
        <v>45616</v>
      </c>
      <c r="F12" s="100">
        <f>IF($B$12="X",DATE($B$2+1,11,20),DATE(1905,1,1))</f>
        <v>45981</v>
      </c>
      <c r="G12" s="6"/>
      <c r="V12" s="36"/>
      <c r="W12" s="36"/>
      <c r="X12" s="36"/>
    </row>
    <row r="13" spans="1:24" ht="18" customHeight="1" x14ac:dyDescent="0.25">
      <c r="A13" s="174"/>
      <c r="B13" s="21" t="s">
        <v>51</v>
      </c>
      <c r="C13" s="22" t="s">
        <v>59</v>
      </c>
      <c r="D13" s="23">
        <f>IF($B$13="X",DATE($B$2-1,12,25),DATE(1905,1,1))</f>
        <v>45285</v>
      </c>
      <c r="E13" s="101">
        <f>IF($B$13="X",DATE($B$2,12,25),DATE(1905,1,1))</f>
        <v>45651</v>
      </c>
      <c r="F13" s="101">
        <f>IF($B$13="X",DATE($B$2+1,12,25),DATE(1905,1,1))</f>
        <v>46016</v>
      </c>
      <c r="G13" s="6"/>
      <c r="V13" s="36">
        <v>8</v>
      </c>
      <c r="W13" s="36">
        <v>8</v>
      </c>
      <c r="X13" s="36"/>
    </row>
    <row r="14" spans="1:24" ht="18" customHeight="1" x14ac:dyDescent="0.25">
      <c r="A14" s="175" t="s">
        <v>60</v>
      </c>
      <c r="B14" s="24" t="s">
        <v>51</v>
      </c>
      <c r="C14" s="12" t="s">
        <v>61</v>
      </c>
      <c r="D14" s="92">
        <f>IF($B$14="X",$G$5-2,DATE(1905,1,1))</f>
        <v>45023</v>
      </c>
      <c r="E14" s="92">
        <f>IF($B$14="X",páscoa-2,DATE(1905,1,1))</f>
        <v>45380</v>
      </c>
      <c r="F14" s="92">
        <f>IF($B$14="X",$G$6-2,DATE(1905,1,1))</f>
        <v>45765</v>
      </c>
      <c r="G14" s="6"/>
      <c r="V14" s="36">
        <v>9</v>
      </c>
      <c r="W14" s="36">
        <v>9</v>
      </c>
      <c r="X14" s="36"/>
    </row>
    <row r="15" spans="1:24" ht="18" customHeight="1" x14ac:dyDescent="0.25">
      <c r="A15" s="176"/>
      <c r="B15" s="20" t="s">
        <v>51</v>
      </c>
      <c r="C15" s="13" t="s">
        <v>62</v>
      </c>
      <c r="D15" s="93">
        <f>IF($B$15="X",$G$5+60,DATE(1905,1,1))</f>
        <v>45085</v>
      </c>
      <c r="E15" s="93">
        <f>IF($B$15="X",páscoa+60,DATE(1905,1,1))</f>
        <v>45442</v>
      </c>
      <c r="F15" s="93">
        <f>IF($B$15="X",$G$6+60,DATE(1905,1,1))</f>
        <v>45827</v>
      </c>
      <c r="G15" s="6"/>
      <c r="V15" s="36">
        <v>10</v>
      </c>
      <c r="W15" s="36">
        <v>10</v>
      </c>
      <c r="X15" s="36"/>
    </row>
    <row r="16" spans="1:24" ht="18" customHeight="1" x14ac:dyDescent="0.25">
      <c r="A16" s="177"/>
      <c r="B16" s="25" t="s">
        <v>51</v>
      </c>
      <c r="C16" s="26" t="s">
        <v>63</v>
      </c>
      <c r="D16" s="94">
        <f>IF($B$16="X",$G$5-47,DATE(1905,1,1))</f>
        <v>44978</v>
      </c>
      <c r="E16" s="94">
        <f>IF($B$16="X",páscoa-47,DATE(1905,1,1))</f>
        <v>45335</v>
      </c>
      <c r="F16" s="94">
        <f>IF($B$16="X",$G$6-47,DATE(1905,1,1))</f>
        <v>45720</v>
      </c>
      <c r="G16" s="99" t="s">
        <v>64</v>
      </c>
      <c r="H16" s="33" t="s">
        <v>65</v>
      </c>
      <c r="V16" s="36">
        <v>11</v>
      </c>
      <c r="W16" s="36">
        <v>11</v>
      </c>
      <c r="X16" s="36"/>
    </row>
    <row r="17" spans="1:24" ht="18" customHeight="1" x14ac:dyDescent="0.25">
      <c r="A17" s="178" t="s">
        <v>66</v>
      </c>
      <c r="B17" s="27" t="s">
        <v>51</v>
      </c>
      <c r="C17" s="28" t="s">
        <v>67</v>
      </c>
      <c r="D17" s="95">
        <f>IF($B$17="X",DATE($B$2-1,$H$17,$G$17),DATE(1905,1,1))</f>
        <v>45087</v>
      </c>
      <c r="E17" s="95">
        <f>IF($B$17="X",DATE($B$2,$H$17,$G$17),DATE(1905,1,1))</f>
        <v>45453</v>
      </c>
      <c r="F17" s="95">
        <f>IF($B$17="X",DATE($B$2+1,$H$17,$G$17),DATE(1905,1,1))</f>
        <v>45818</v>
      </c>
      <c r="G17" s="29">
        <v>10</v>
      </c>
      <c r="H17" s="29">
        <v>6</v>
      </c>
      <c r="V17" s="36">
        <v>12</v>
      </c>
      <c r="W17" s="36">
        <v>12</v>
      </c>
      <c r="X17" s="36"/>
    </row>
    <row r="18" spans="1:24" ht="18" customHeight="1" x14ac:dyDescent="0.25">
      <c r="A18" s="179"/>
      <c r="B18" s="19" t="s">
        <v>51</v>
      </c>
      <c r="C18" s="11" t="s">
        <v>68</v>
      </c>
      <c r="D18" s="96">
        <f>IF($B$18="X",DATE($B$2-1,H18,G18),DATE(1905,1,1))</f>
        <v>45101</v>
      </c>
      <c r="E18" s="95">
        <f>IF($B$18="X",DATE($B$2,H18,G18),DATE(1905,1,1))</f>
        <v>45467</v>
      </c>
      <c r="F18" s="95">
        <f>IF($B$18="X",DATE($B$2+1,H18,G18),DATE(1905,1,1))</f>
        <v>45832</v>
      </c>
      <c r="G18" s="30">
        <v>24</v>
      </c>
      <c r="H18" s="30">
        <v>6</v>
      </c>
      <c r="V18" s="36"/>
      <c r="W18" s="36">
        <v>13</v>
      </c>
      <c r="X18" s="36"/>
    </row>
    <row r="19" spans="1:24" ht="18" customHeight="1" x14ac:dyDescent="0.25">
      <c r="A19" s="179"/>
      <c r="B19" s="154"/>
      <c r="C19" s="11" t="s">
        <v>69</v>
      </c>
      <c r="D19" s="96">
        <f>IF($B$19="X",DATE($B$2-1,H19,G19),DATE(1905,1,1))</f>
        <v>1828</v>
      </c>
      <c r="E19" s="95">
        <f>IF($B$19="X",DATE($B$2,H19,G19),DATE(1905,1,1))</f>
        <v>1828</v>
      </c>
      <c r="F19" s="95">
        <f>IF($B$19="X",DATE($B$2,H19,G19),DATE(1905,1,1))</f>
        <v>1828</v>
      </c>
      <c r="G19" s="30">
        <v>5</v>
      </c>
      <c r="H19" s="30">
        <v>8</v>
      </c>
      <c r="V19" s="36"/>
      <c r="W19" s="36">
        <v>14</v>
      </c>
      <c r="X19" s="36"/>
    </row>
    <row r="20" spans="1:24" ht="18" customHeight="1" x14ac:dyDescent="0.25">
      <c r="A20" s="179"/>
      <c r="B20" s="155"/>
      <c r="C20" s="31" t="s">
        <v>70</v>
      </c>
      <c r="D20" s="97">
        <f>IF($B$20="X",DATE($B$2-1,H20,G20),DATE(1905,1,1))</f>
        <v>1828</v>
      </c>
      <c r="E20" s="102">
        <f>IF($B$20="X",DATE($B$2,H20,G20),DATE(1905,1,1))</f>
        <v>1828</v>
      </c>
      <c r="F20" s="102">
        <f>IF($B$20="X",DATE($B$2+1,H20,G20),DATE(1905,1,1))</f>
        <v>1828</v>
      </c>
      <c r="G20" s="32">
        <v>10</v>
      </c>
      <c r="H20" s="32">
        <v>5</v>
      </c>
      <c r="V20" s="36"/>
      <c r="W20" s="36">
        <v>15</v>
      </c>
      <c r="X20" s="36"/>
    </row>
    <row r="21" spans="1:24" x14ac:dyDescent="0.2">
      <c r="A21" s="10"/>
      <c r="B21" s="10"/>
      <c r="V21" s="36"/>
      <c r="W21" s="36">
        <v>16</v>
      </c>
      <c r="X21" s="36"/>
    </row>
    <row r="22" spans="1:24" x14ac:dyDescent="0.2">
      <c r="A22" s="7"/>
      <c r="B22" s="7"/>
      <c r="V22" s="36"/>
      <c r="W22" s="36">
        <v>17</v>
      </c>
      <c r="X22" s="36"/>
    </row>
    <row r="23" spans="1:24" x14ac:dyDescent="0.2">
      <c r="A23" s="7"/>
      <c r="B23" s="7"/>
      <c r="V23" s="36"/>
      <c r="W23" s="36">
        <v>18</v>
      </c>
      <c r="X23" s="36"/>
    </row>
    <row r="24" spans="1:24" x14ac:dyDescent="0.2">
      <c r="A24" s="7"/>
      <c r="B24" s="7"/>
      <c r="V24" s="36"/>
      <c r="W24" s="36">
        <v>19</v>
      </c>
      <c r="X24" s="36"/>
    </row>
    <row r="25" spans="1:24" x14ac:dyDescent="0.2">
      <c r="V25" s="36"/>
      <c r="W25" s="36">
        <v>20</v>
      </c>
      <c r="X25" s="36"/>
    </row>
    <row r="26" spans="1:24" x14ac:dyDescent="0.2">
      <c r="V26" s="36"/>
      <c r="W26" s="36">
        <v>21</v>
      </c>
      <c r="X26" s="36"/>
    </row>
    <row r="27" spans="1:24" x14ac:dyDescent="0.2">
      <c r="V27" s="36"/>
      <c r="W27" s="36">
        <v>22</v>
      </c>
      <c r="X27" s="36"/>
    </row>
    <row r="28" spans="1:24" x14ac:dyDescent="0.2">
      <c r="V28" s="36"/>
      <c r="W28" s="36">
        <v>23</v>
      </c>
      <c r="X28" s="36"/>
    </row>
    <row r="29" spans="1:24" x14ac:dyDescent="0.2">
      <c r="V29" s="36"/>
      <c r="W29" s="36">
        <v>24</v>
      </c>
      <c r="X29" s="36"/>
    </row>
    <row r="30" spans="1:24" x14ac:dyDescent="0.2">
      <c r="V30" s="36"/>
      <c r="W30" s="36">
        <v>25</v>
      </c>
      <c r="X30" s="36"/>
    </row>
    <row r="31" spans="1:24" x14ac:dyDescent="0.2">
      <c r="V31" s="36"/>
      <c r="W31" s="36">
        <v>26</v>
      </c>
      <c r="X31" s="36"/>
    </row>
    <row r="32" spans="1:24" x14ac:dyDescent="0.2">
      <c r="V32" s="36"/>
      <c r="W32" s="36">
        <v>27</v>
      </c>
      <c r="X32" s="36"/>
    </row>
    <row r="33" spans="22:24" x14ac:dyDescent="0.2">
      <c r="V33" s="36"/>
      <c r="W33" s="36">
        <v>28</v>
      </c>
      <c r="X33" s="36"/>
    </row>
    <row r="34" spans="22:24" x14ac:dyDescent="0.2">
      <c r="V34" s="36"/>
      <c r="W34" s="36">
        <v>29</v>
      </c>
      <c r="X34" s="36"/>
    </row>
    <row r="35" spans="22:24" x14ac:dyDescent="0.2">
      <c r="V35" s="36"/>
      <c r="W35" s="36">
        <v>30</v>
      </c>
      <c r="X35" s="36"/>
    </row>
    <row r="36" spans="22:24" x14ac:dyDescent="0.2">
      <c r="V36" s="36"/>
      <c r="W36" s="36">
        <v>31</v>
      </c>
      <c r="X36" s="36"/>
    </row>
  </sheetData>
  <mergeCells count="6">
    <mergeCell ref="A5:A13"/>
    <mergeCell ref="A14:A16"/>
    <mergeCell ref="A17:A20"/>
    <mergeCell ref="A1:B1"/>
    <mergeCell ref="D1:E1"/>
    <mergeCell ref="A4:F4"/>
  </mergeCells>
  <phoneticPr fontId="4" type="noConversion"/>
  <conditionalFormatting sqref="D5:F20">
    <cfRule type="cellIs" dxfId="0" priority="1" operator="equal">
      <formula>$X$5</formula>
    </cfRule>
  </conditionalFormatting>
  <dataValidations count="2">
    <dataValidation type="list" allowBlank="1" showInputMessage="1" showErrorMessage="1" sqref="G17:G20" xr:uid="{00000000-0002-0000-0100-000000000000}">
      <formula1>$W$5:$W$36</formula1>
    </dataValidation>
    <dataValidation type="list" allowBlank="1" showInputMessage="1" showErrorMessage="1" sqref="H17:H20" xr:uid="{00000000-0002-0000-0100-000001000000}">
      <formula1>$V$5:$V$17</formula1>
    </dataValidation>
  </dataValidations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20</vt:i4>
      </vt:variant>
    </vt:vector>
  </HeadingPairs>
  <TitlesOfParts>
    <vt:vector size="22" baseType="lpstr">
      <vt:lpstr>controle ponto</vt:lpstr>
      <vt:lpstr>Feriados</vt:lpstr>
      <vt:lpstr>ano_p</vt:lpstr>
      <vt:lpstr>dia_f</vt:lpstr>
      <vt:lpstr>fer</vt:lpstr>
      <vt:lpstr>feriados_todos</vt:lpstr>
      <vt:lpstr>fim</vt:lpstr>
      <vt:lpstr>FIMNOT</vt:lpstr>
      <vt:lpstr>folgas_jornormal</vt:lpstr>
      <vt:lpstr>inicio</vt:lpstr>
      <vt:lpstr>ININOT</vt:lpstr>
      <vt:lpstr>intramax</vt:lpstr>
      <vt:lpstr>intramin</vt:lpstr>
      <vt:lpstr>jor_contratual</vt:lpstr>
      <vt:lpstr>jor_diária</vt:lpstr>
      <vt:lpstr>jor_noturno</vt:lpstr>
      <vt:lpstr>jornada</vt:lpstr>
      <vt:lpstr>limmax</vt:lpstr>
      <vt:lpstr>limmin</vt:lpstr>
      <vt:lpstr>mês_p</vt:lpstr>
      <vt:lpstr>páscoa</vt:lpstr>
      <vt:lpstr>quadro_horário</vt:lpstr>
    </vt:vector>
  </TitlesOfParts>
  <Manager/>
  <Company>MTE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gilberto.braga</dc:creator>
  <cp:keywords/>
  <dc:description/>
  <cp:lastModifiedBy>Gilberto Braga</cp:lastModifiedBy>
  <cp:revision/>
  <dcterms:created xsi:type="dcterms:W3CDTF">2015-05-11T16:16:43Z</dcterms:created>
  <dcterms:modified xsi:type="dcterms:W3CDTF">2023-12-29T03:08:00Z</dcterms:modified>
  <cp:category/>
  <cp:contentStatus/>
</cp:coreProperties>
</file>