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4.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5.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codeName="{E757BCB4-07E6-AE0B-56E0-F0EEF7A6E26C}"/>
  <workbookPr codeName="EstaPastaDeTrabalho"/>
  <mc:AlternateContent xmlns:mc="http://schemas.openxmlformats.org/markup-compatibility/2006">
    <mc:Choice Requires="x15">
      <x15ac:absPath xmlns:x15ac="http://schemas.microsoft.com/office/spreadsheetml/2010/11/ac" url="C:\Users\Gilbeto Braga\Documents\Blog Caltrab\Restabelecendo as planilhas\Planilhas atualização 2024\"/>
    </mc:Choice>
  </mc:AlternateContent>
  <xr:revisionPtr revIDLastSave="0" documentId="13_ncr:1_{F89EA707-8B88-49A7-8414-C5E2FF09AAE5}" xr6:coauthVersionLast="47" xr6:coauthVersionMax="47" xr10:uidLastSave="{00000000-0000-0000-0000-000000000000}"/>
  <bookViews>
    <workbookView xWindow="-120" yWindow="-120" windowWidth="29040" windowHeight="15840" xr2:uid="{00000000-000D-0000-FFFF-FFFF00000000}"/>
  </bookViews>
  <sheets>
    <sheet name="Outubro" sheetId="7" r:id="rId1"/>
    <sheet name="Novembro" sheetId="8" r:id="rId2"/>
    <sheet name="Dezembro" sheetId="9" r:id="rId3"/>
    <sheet name="Janeiro" sheetId="10" r:id="rId4"/>
    <sheet name="Fevereiro" sheetId="11" r:id="rId5"/>
    <sheet name="Março" sheetId="12" r:id="rId6"/>
    <sheet name="Feriados" sheetId="3" r:id="rId7"/>
  </sheets>
  <definedNames>
    <definedName name="ano_p">Outubro!$X$22</definedName>
    <definedName name="dia_f">Outubro!$X$21</definedName>
    <definedName name="fer">Feriados!$D$5:$F$20</definedName>
    <definedName name="fim">Outubro!$W$117</definedName>
    <definedName name="FIMNOT">Outubro!$X$19</definedName>
    <definedName name="inicio">Outubro!$W$116</definedName>
    <definedName name="ININOT">Outubro!$X$18</definedName>
    <definedName name="jornada" localSheetId="2">Dezembro!$V$8:$X$15</definedName>
    <definedName name="jornada" localSheetId="4">Fevereiro!$V$8:$X$15</definedName>
    <definedName name="jornada" localSheetId="3">Janeiro!$V$8:$X$15</definedName>
    <definedName name="jornada" localSheetId="5">Março!$V$8:$X$15</definedName>
    <definedName name="jornada" localSheetId="1">Novembro!$V$8:$X$15</definedName>
    <definedName name="jornada">Outubro!$V$8:$X$15</definedName>
    <definedName name="mês_p">Outubro!$X$23</definedName>
    <definedName name="páscoa">Feriados!$C$2</definedName>
    <definedName name="quadro_horário" localSheetId="2">Dezembro!$D$8:$J$38</definedName>
    <definedName name="quadro_horário" localSheetId="4">Fevereiro!$D$8:$J$38</definedName>
    <definedName name="quadro_horário" localSheetId="3">Janeiro!$D$8:$J$38</definedName>
    <definedName name="quadro_horário" localSheetId="5">Março!$D$8:$J$38</definedName>
    <definedName name="quadro_horário" localSheetId="1">Novembro!$D$8:$J$38</definedName>
    <definedName name="quadro_horário">Outubro!$D$8:$J$38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12" l="1"/>
  <c r="D5" i="11"/>
  <c r="D5" i="10"/>
  <c r="D5" i="9"/>
  <c r="D5" i="8"/>
  <c r="X19" i="12"/>
  <c r="X18" i="12"/>
  <c r="X19" i="11"/>
  <c r="X18" i="11"/>
  <c r="X19" i="10"/>
  <c r="X18" i="10"/>
  <c r="X19" i="9"/>
  <c r="X18" i="9"/>
  <c r="X19" i="8"/>
  <c r="X18" i="8"/>
  <c r="X21" i="9" l="1"/>
  <c r="X21" i="10"/>
  <c r="X21" i="11"/>
  <c r="X21" i="12"/>
  <c r="X21" i="8"/>
  <c r="W117" i="7" l="1"/>
  <c r="E1" i="7" s="1"/>
  <c r="W116" i="7"/>
  <c r="C41" i="7" l="1"/>
  <c r="B41" i="7"/>
  <c r="E3" i="3"/>
  <c r="B2" i="3"/>
  <c r="E20" i="3"/>
  <c r="D19" i="3"/>
  <c r="F19" i="3"/>
  <c r="E19" i="3"/>
  <c r="F20" i="3"/>
  <c r="D20" i="3"/>
  <c r="E2" i="3"/>
  <c r="X5" i="3"/>
  <c r="D8" i="3" l="1"/>
  <c r="F12" i="3"/>
  <c r="D12" i="3"/>
  <c r="E12" i="3"/>
  <c r="G41" i="7"/>
  <c r="O42" i="7"/>
  <c r="B8" i="7"/>
  <c r="B8" i="12"/>
  <c r="B8" i="8"/>
  <c r="B8" i="11"/>
  <c r="B8" i="10"/>
  <c r="B8" i="9"/>
  <c r="G6" i="3"/>
  <c r="F15" i="3" s="1"/>
  <c r="E18" i="3"/>
  <c r="D5" i="3"/>
  <c r="D11" i="3"/>
  <c r="D18" i="3"/>
  <c r="E17" i="3"/>
  <c r="D7" i="3"/>
  <c r="E5" i="3"/>
  <c r="D17" i="3"/>
  <c r="F5" i="3"/>
  <c r="G5" i="3"/>
  <c r="D16" i="3" s="1"/>
  <c r="D10" i="3"/>
  <c r="D13" i="3"/>
  <c r="F18" i="3"/>
  <c r="D9" i="3"/>
  <c r="D6" i="3"/>
  <c r="C2" i="3"/>
  <c r="E15" i="3" s="1"/>
  <c r="F17" i="3"/>
  <c r="B40" i="7"/>
  <c r="M42" i="7"/>
  <c r="F13" i="3"/>
  <c r="F10" i="3"/>
  <c r="F8" i="3"/>
  <c r="F6" i="3"/>
  <c r="E13" i="3"/>
  <c r="E10" i="3"/>
  <c r="E8" i="3"/>
  <c r="E6" i="3"/>
  <c r="F11" i="3"/>
  <c r="F9" i="3"/>
  <c r="F7" i="3"/>
  <c r="E11" i="3"/>
  <c r="E9" i="3"/>
  <c r="E7" i="3"/>
  <c r="F41" i="7"/>
  <c r="L8" i="12" l="1"/>
  <c r="L8" i="11"/>
  <c r="B9" i="7"/>
  <c r="AE9" i="7" s="1"/>
  <c r="W117" i="8"/>
  <c r="E1" i="8" s="1"/>
  <c r="AC8" i="7"/>
  <c r="AB8" i="7"/>
  <c r="AA8" i="7"/>
  <c r="W116" i="9"/>
  <c r="W117" i="9"/>
  <c r="W116" i="12"/>
  <c r="W117" i="12"/>
  <c r="W116" i="10"/>
  <c r="W117" i="10"/>
  <c r="W117" i="11"/>
  <c r="W116" i="11"/>
  <c r="W116" i="8"/>
  <c r="AD8" i="8"/>
  <c r="Z8" i="8"/>
  <c r="AE8" i="8"/>
  <c r="Z8" i="9"/>
  <c r="AE8" i="9"/>
  <c r="AD8" i="9"/>
  <c r="AD8" i="12"/>
  <c r="AE8" i="12"/>
  <c r="Z8" i="12"/>
  <c r="AD8" i="10"/>
  <c r="Z8" i="10"/>
  <c r="AE8" i="10"/>
  <c r="Z8" i="7"/>
  <c r="AE8" i="7"/>
  <c r="AD8" i="7"/>
  <c r="Z9" i="7"/>
  <c r="AD8" i="11"/>
  <c r="Z8" i="11"/>
  <c r="AE8" i="11"/>
  <c r="B9" i="8"/>
  <c r="AB8" i="8"/>
  <c r="AC8" i="8"/>
  <c r="B40" i="8"/>
  <c r="AA8" i="8"/>
  <c r="B40" i="9"/>
  <c r="B9" i="9"/>
  <c r="AB8" i="9"/>
  <c r="AA8" i="9"/>
  <c r="AC8" i="9"/>
  <c r="B9" i="12"/>
  <c r="AC8" i="12"/>
  <c r="AA8" i="12"/>
  <c r="AB8" i="12"/>
  <c r="B40" i="12"/>
  <c r="B40" i="10"/>
  <c r="AB8" i="10"/>
  <c r="AA8" i="10"/>
  <c r="L8" i="10" s="1"/>
  <c r="B9" i="10"/>
  <c r="AC8" i="10"/>
  <c r="B9" i="11"/>
  <c r="B40" i="11"/>
  <c r="AB8" i="11"/>
  <c r="AA8" i="11"/>
  <c r="AC8" i="11"/>
  <c r="F14" i="3"/>
  <c r="F16" i="3"/>
  <c r="E16" i="3"/>
  <c r="E14" i="3"/>
  <c r="D15" i="3"/>
  <c r="D14" i="3"/>
  <c r="AB9" i="7"/>
  <c r="AA9" i="7" l="1"/>
  <c r="AC9" i="7"/>
  <c r="L8" i="8"/>
  <c r="AD9" i="7"/>
  <c r="B10" i="7"/>
  <c r="E41" i="7"/>
  <c r="K41" i="7" s="1"/>
  <c r="L9" i="12"/>
  <c r="L9" i="11"/>
  <c r="L8" i="9"/>
  <c r="M8" i="9" s="1"/>
  <c r="L8" i="7"/>
  <c r="M8" i="7" s="1"/>
  <c r="O8" i="7" s="1"/>
  <c r="B41" i="8"/>
  <c r="M42" i="8" s="1"/>
  <c r="L9" i="7"/>
  <c r="M9" i="7" s="1"/>
  <c r="O9" i="7" s="1"/>
  <c r="E1" i="12"/>
  <c r="B41" i="12"/>
  <c r="E1" i="11"/>
  <c r="B41" i="11"/>
  <c r="E1" i="10"/>
  <c r="B41" i="10"/>
  <c r="E1" i="9"/>
  <c r="B41" i="9"/>
  <c r="AD9" i="11"/>
  <c r="AE9" i="11"/>
  <c r="AA10" i="7"/>
  <c r="AD10" i="7"/>
  <c r="AE10" i="7"/>
  <c r="AD9" i="8"/>
  <c r="AE9" i="8"/>
  <c r="AD9" i="10"/>
  <c r="AE9" i="10"/>
  <c r="AE9" i="12"/>
  <c r="AD9" i="12"/>
  <c r="AD9" i="9"/>
  <c r="AE9" i="9"/>
  <c r="B10" i="9"/>
  <c r="AB9" i="9"/>
  <c r="L9" i="9" s="1"/>
  <c r="AC9" i="9"/>
  <c r="AA9" i="9"/>
  <c r="Z9" i="9"/>
  <c r="Z9" i="11"/>
  <c r="AB9" i="11"/>
  <c r="B10" i="11"/>
  <c r="AA9" i="11"/>
  <c r="AC9" i="11"/>
  <c r="AB9" i="10"/>
  <c r="AA9" i="10"/>
  <c r="AC9" i="10"/>
  <c r="L9" i="10" s="1"/>
  <c r="Z9" i="10"/>
  <c r="B10" i="10"/>
  <c r="M8" i="10"/>
  <c r="AC9" i="12"/>
  <c r="AA9" i="12"/>
  <c r="B10" i="12"/>
  <c r="AB9" i="12"/>
  <c r="Z9" i="12"/>
  <c r="Z9" i="8"/>
  <c r="AB9" i="8"/>
  <c r="AA9" i="8"/>
  <c r="B10" i="8"/>
  <c r="AC9" i="8"/>
  <c r="C9" i="7"/>
  <c r="A9" i="7" s="1"/>
  <c r="P9" i="7" s="1"/>
  <c r="C8" i="11"/>
  <c r="A8" i="11" s="1"/>
  <c r="P8" i="11" s="1"/>
  <c r="C8" i="12"/>
  <c r="C9" i="11"/>
  <c r="A9" i="11" s="1"/>
  <c r="P9" i="11" s="1"/>
  <c r="C9" i="12"/>
  <c r="A9" i="12" s="1"/>
  <c r="P9" i="12" s="1"/>
  <c r="C9" i="8"/>
  <c r="A9" i="8" s="1"/>
  <c r="P9" i="8" s="1"/>
  <c r="T9" i="8" s="1"/>
  <c r="C8" i="10"/>
  <c r="C9" i="10"/>
  <c r="A9" i="10" s="1"/>
  <c r="P9" i="10" s="1"/>
  <c r="C8" i="9"/>
  <c r="C9" i="9"/>
  <c r="A9" i="9" s="1"/>
  <c r="P9" i="9" s="1"/>
  <c r="C8" i="8"/>
  <c r="AB10" i="7"/>
  <c r="C10" i="7"/>
  <c r="A10" i="7" s="1"/>
  <c r="P10" i="7" s="1"/>
  <c r="C8" i="7"/>
  <c r="A8" i="7" s="1"/>
  <c r="P8" i="7" s="1"/>
  <c r="AC10" i="7"/>
  <c r="Z10" i="7"/>
  <c r="B11" i="7"/>
  <c r="O42" i="8" l="1"/>
  <c r="C41" i="8"/>
  <c r="E41" i="8"/>
  <c r="L10" i="12"/>
  <c r="C10" i="10"/>
  <c r="A10" i="10" s="1"/>
  <c r="P10" i="10" s="1"/>
  <c r="T9" i="12"/>
  <c r="T9" i="9"/>
  <c r="T9" i="11"/>
  <c r="T9" i="10"/>
  <c r="T8" i="11"/>
  <c r="T9" i="7"/>
  <c r="S9" i="7"/>
  <c r="S8" i="7"/>
  <c r="T8" i="7"/>
  <c r="L9" i="8"/>
  <c r="L10" i="7"/>
  <c r="M10" i="7" s="1"/>
  <c r="C10" i="11"/>
  <c r="A10" i="11" s="1"/>
  <c r="P10" i="11" s="1"/>
  <c r="T10" i="11" s="1"/>
  <c r="L10" i="11"/>
  <c r="C10" i="8"/>
  <c r="A10" i="8" s="1"/>
  <c r="P10" i="8" s="1"/>
  <c r="S10" i="8" s="1"/>
  <c r="L10" i="8"/>
  <c r="C10" i="9"/>
  <c r="A10" i="9" s="1"/>
  <c r="P10" i="9" s="1"/>
  <c r="C41" i="9"/>
  <c r="E41" i="9" s="1"/>
  <c r="M42" i="9"/>
  <c r="O42" i="9"/>
  <c r="C41" i="11"/>
  <c r="M42" i="11"/>
  <c r="E41" i="11"/>
  <c r="O42" i="11"/>
  <c r="C41" i="10"/>
  <c r="G41" i="10" s="1"/>
  <c r="M42" i="10"/>
  <c r="O42" i="10"/>
  <c r="C41" i="12"/>
  <c r="E41" i="12" s="1"/>
  <c r="O42" i="12"/>
  <c r="M42" i="12"/>
  <c r="Q8" i="7"/>
  <c r="N8" i="7"/>
  <c r="K8" i="7" s="1"/>
  <c r="M9" i="12"/>
  <c r="N9" i="12" s="1"/>
  <c r="C11" i="7"/>
  <c r="A11" i="7" s="1"/>
  <c r="P11" i="7" s="1"/>
  <c r="AE11" i="7"/>
  <c r="AD11" i="7"/>
  <c r="AD10" i="9"/>
  <c r="AE10" i="9"/>
  <c r="C10" i="12"/>
  <c r="A10" i="12" s="1"/>
  <c r="P10" i="12" s="1"/>
  <c r="AD10" i="12"/>
  <c r="AE10" i="12"/>
  <c r="AD10" i="11"/>
  <c r="AE10" i="11"/>
  <c r="O8" i="9"/>
  <c r="AD10" i="10"/>
  <c r="AE10" i="10"/>
  <c r="L10" i="10" s="1"/>
  <c r="M9" i="11"/>
  <c r="R8" i="7"/>
  <c r="AD10" i="8"/>
  <c r="AE10" i="8"/>
  <c r="O8" i="10"/>
  <c r="N8" i="10"/>
  <c r="M8" i="8"/>
  <c r="O8" i="8" s="1"/>
  <c r="N8" i="9"/>
  <c r="M8" i="11"/>
  <c r="Z10" i="12"/>
  <c r="AA10" i="12"/>
  <c r="B11" i="12"/>
  <c r="AB10" i="12"/>
  <c r="AC10" i="12"/>
  <c r="AB10" i="8"/>
  <c r="B11" i="8"/>
  <c r="Z10" i="8"/>
  <c r="AA10" i="8"/>
  <c r="AC10" i="8"/>
  <c r="AC10" i="11"/>
  <c r="B11" i="11"/>
  <c r="AB10" i="11"/>
  <c r="Z10" i="11"/>
  <c r="AA10" i="11"/>
  <c r="AA10" i="9"/>
  <c r="Z10" i="9"/>
  <c r="AC10" i="9"/>
  <c r="B11" i="9"/>
  <c r="AB10" i="9"/>
  <c r="B11" i="10"/>
  <c r="Z10" i="10"/>
  <c r="AA10" i="10"/>
  <c r="AC10" i="10"/>
  <c r="AB10" i="10"/>
  <c r="M8" i="12"/>
  <c r="O8" i="12" s="1"/>
  <c r="R9" i="7"/>
  <c r="A8" i="12"/>
  <c r="P8" i="12" s="1"/>
  <c r="A8" i="10"/>
  <c r="P8" i="10" s="1"/>
  <c r="A8" i="9"/>
  <c r="P8" i="9" s="1"/>
  <c r="A8" i="8"/>
  <c r="P8" i="8" s="1"/>
  <c r="AB11" i="7"/>
  <c r="AA11" i="7"/>
  <c r="B12" i="7"/>
  <c r="Z11" i="7"/>
  <c r="AC11" i="7"/>
  <c r="Q9" i="7"/>
  <c r="N9" i="7"/>
  <c r="K9" i="7" s="1"/>
  <c r="H41" i="9"/>
  <c r="H41" i="8"/>
  <c r="F41" i="10"/>
  <c r="F41" i="8"/>
  <c r="H41" i="11"/>
  <c r="F41" i="11"/>
  <c r="F41" i="9"/>
  <c r="H41" i="10"/>
  <c r="Q8" i="12" l="1"/>
  <c r="K41" i="8"/>
  <c r="L41" i="8" s="1"/>
  <c r="G41" i="8"/>
  <c r="R8" i="12"/>
  <c r="T10" i="9"/>
  <c r="T8" i="8"/>
  <c r="S8" i="8"/>
  <c r="L11" i="9"/>
  <c r="L11" i="12"/>
  <c r="T10" i="12"/>
  <c r="L11" i="11"/>
  <c r="S8" i="9"/>
  <c r="T8" i="9"/>
  <c r="T10" i="10"/>
  <c r="T8" i="10"/>
  <c r="S8" i="10"/>
  <c r="L10" i="9"/>
  <c r="M10" i="9" s="1"/>
  <c r="O10" i="9" s="1"/>
  <c r="S10" i="9" s="1"/>
  <c r="L11" i="7"/>
  <c r="M11" i="7" s="1"/>
  <c r="G41" i="12"/>
  <c r="K41" i="11"/>
  <c r="L41" i="11" s="1"/>
  <c r="K41" i="9"/>
  <c r="E41" i="10"/>
  <c r="K41" i="10" s="1"/>
  <c r="G41" i="11"/>
  <c r="G41" i="9"/>
  <c r="R8" i="10"/>
  <c r="R8" i="9"/>
  <c r="M10" i="8"/>
  <c r="O10" i="8" s="1"/>
  <c r="T10" i="8" s="1"/>
  <c r="K8" i="10"/>
  <c r="Q8" i="10"/>
  <c r="O10" i="7"/>
  <c r="B13" i="7"/>
  <c r="AD12" i="7"/>
  <c r="AE12" i="7"/>
  <c r="AD11" i="9"/>
  <c r="AE11" i="9"/>
  <c r="AD11" i="8"/>
  <c r="AE11" i="8"/>
  <c r="AE11" i="12"/>
  <c r="AD11" i="12"/>
  <c r="Q8" i="9"/>
  <c r="M10" i="12"/>
  <c r="O10" i="12" s="1"/>
  <c r="S10" i="12" s="1"/>
  <c r="AD11" i="11"/>
  <c r="AE11" i="11"/>
  <c r="AD11" i="10"/>
  <c r="AE11" i="10"/>
  <c r="K8" i="9"/>
  <c r="M10" i="10"/>
  <c r="O10" i="10" s="1"/>
  <c r="S10" i="10" s="1"/>
  <c r="O9" i="11"/>
  <c r="S9" i="11" s="1"/>
  <c r="O8" i="11"/>
  <c r="O9" i="12"/>
  <c r="S9" i="12" s="1"/>
  <c r="N8" i="12"/>
  <c r="K8" i="12" s="1"/>
  <c r="N9" i="11"/>
  <c r="N8" i="8"/>
  <c r="K8" i="8" s="1"/>
  <c r="N8" i="11"/>
  <c r="M9" i="9"/>
  <c r="O9" i="9" s="1"/>
  <c r="S9" i="9" s="1"/>
  <c r="AB11" i="11"/>
  <c r="Z11" i="11"/>
  <c r="B12" i="11"/>
  <c r="C11" i="11"/>
  <c r="A11" i="11" s="1"/>
  <c r="P11" i="11" s="1"/>
  <c r="T11" i="11" s="1"/>
  <c r="AC11" i="11"/>
  <c r="AA11" i="11"/>
  <c r="AB11" i="10"/>
  <c r="Z11" i="10"/>
  <c r="AA11" i="10"/>
  <c r="B12" i="10"/>
  <c r="AC11" i="10"/>
  <c r="C11" i="10"/>
  <c r="A11" i="10" s="1"/>
  <c r="P11" i="10" s="1"/>
  <c r="AA11" i="9"/>
  <c r="AC11" i="9"/>
  <c r="Z11" i="9"/>
  <c r="B12" i="9"/>
  <c r="AB11" i="9"/>
  <c r="C11" i="9"/>
  <c r="A11" i="9" s="1"/>
  <c r="P11" i="9" s="1"/>
  <c r="T11" i="9" s="1"/>
  <c r="M10" i="11"/>
  <c r="O10" i="11" s="1"/>
  <c r="S10" i="11" s="1"/>
  <c r="M9" i="10"/>
  <c r="O9" i="10" s="1"/>
  <c r="S9" i="10" s="1"/>
  <c r="M9" i="8"/>
  <c r="O9" i="8" s="1"/>
  <c r="S9" i="8" s="1"/>
  <c r="Z11" i="8"/>
  <c r="B12" i="8"/>
  <c r="AC11" i="8"/>
  <c r="C11" i="8"/>
  <c r="A11" i="8" s="1"/>
  <c r="P11" i="8" s="1"/>
  <c r="T11" i="8" s="1"/>
  <c r="AB11" i="8"/>
  <c r="AA11" i="8"/>
  <c r="AC11" i="12"/>
  <c r="B12" i="12"/>
  <c r="AB11" i="12"/>
  <c r="AA11" i="12"/>
  <c r="Z11" i="12"/>
  <c r="C11" i="12"/>
  <c r="A11" i="12" s="1"/>
  <c r="P11" i="12" s="1"/>
  <c r="R8" i="8"/>
  <c r="Q8" i="8"/>
  <c r="N10" i="7"/>
  <c r="C12" i="7"/>
  <c r="A12" i="7" s="1"/>
  <c r="P12" i="7" s="1"/>
  <c r="AB12" i="7"/>
  <c r="AA12" i="7"/>
  <c r="AC12" i="7"/>
  <c r="Z12" i="7"/>
  <c r="F41" i="12"/>
  <c r="H41" i="12"/>
  <c r="L12" i="7" l="1"/>
  <c r="K41" i="12"/>
  <c r="L41" i="12" s="1"/>
  <c r="T10" i="7"/>
  <c r="S10" i="7"/>
  <c r="L12" i="9"/>
  <c r="T11" i="10"/>
  <c r="L12" i="11"/>
  <c r="R8" i="11"/>
  <c r="S8" i="11"/>
  <c r="T11" i="12"/>
  <c r="L12" i="12"/>
  <c r="R10" i="7"/>
  <c r="L11" i="10"/>
  <c r="M11" i="10" s="1"/>
  <c r="N11" i="10" s="1"/>
  <c r="L11" i="8"/>
  <c r="M11" i="8" s="1"/>
  <c r="AC13" i="7"/>
  <c r="Z13" i="7"/>
  <c r="K9" i="11"/>
  <c r="Q10" i="7"/>
  <c r="K10" i="7"/>
  <c r="C13" i="7"/>
  <c r="A13" i="7" s="1"/>
  <c r="P13" i="7" s="1"/>
  <c r="L41" i="9"/>
  <c r="AA13" i="7"/>
  <c r="B14" i="7"/>
  <c r="AE14" i="7" s="1"/>
  <c r="AB13" i="7"/>
  <c r="L41" i="10"/>
  <c r="Q9" i="11"/>
  <c r="R9" i="11"/>
  <c r="K8" i="11"/>
  <c r="M11" i="12"/>
  <c r="O11" i="12" s="1"/>
  <c r="S11" i="12" s="1"/>
  <c r="Q8" i="11"/>
  <c r="AD12" i="10"/>
  <c r="AE12" i="10"/>
  <c r="M12" i="7"/>
  <c r="AD12" i="8"/>
  <c r="AE12" i="8"/>
  <c r="R10" i="10"/>
  <c r="AD12" i="9"/>
  <c r="AE12" i="9"/>
  <c r="M11" i="11"/>
  <c r="N11" i="11" s="1"/>
  <c r="AE13" i="7"/>
  <c r="AD13" i="7"/>
  <c r="AD12" i="12"/>
  <c r="AE12" i="12"/>
  <c r="AD12" i="11"/>
  <c r="AE12" i="11"/>
  <c r="O11" i="7"/>
  <c r="N10" i="10"/>
  <c r="K10" i="10" s="1"/>
  <c r="Q10" i="10"/>
  <c r="N9" i="8"/>
  <c r="K9" i="8" s="1"/>
  <c r="N9" i="10"/>
  <c r="K9" i="10" s="1"/>
  <c r="AC12" i="12"/>
  <c r="C12" i="12"/>
  <c r="A12" i="12" s="1"/>
  <c r="P12" i="12" s="1"/>
  <c r="T12" i="12" s="1"/>
  <c r="AB12" i="12"/>
  <c r="AA12" i="12"/>
  <c r="Z12" i="12"/>
  <c r="B13" i="12"/>
  <c r="K9" i="12"/>
  <c r="R9" i="12"/>
  <c r="Q9" i="12"/>
  <c r="N10" i="11"/>
  <c r="AB12" i="11"/>
  <c r="AC12" i="11"/>
  <c r="AA12" i="11"/>
  <c r="Z12" i="11"/>
  <c r="C12" i="11"/>
  <c r="A12" i="11" s="1"/>
  <c r="P12" i="11" s="1"/>
  <c r="B13" i="11"/>
  <c r="N9" i="9"/>
  <c r="K9" i="9" s="1"/>
  <c r="B13" i="10"/>
  <c r="AC12" i="10"/>
  <c r="AA12" i="10"/>
  <c r="C12" i="10"/>
  <c r="A12" i="10" s="1"/>
  <c r="P12" i="10" s="1"/>
  <c r="AB12" i="10"/>
  <c r="Z12" i="10"/>
  <c r="R9" i="9"/>
  <c r="Q9" i="9"/>
  <c r="B13" i="8"/>
  <c r="AC12" i="8"/>
  <c r="AB12" i="8"/>
  <c r="C12" i="8"/>
  <c r="A12" i="8" s="1"/>
  <c r="P12" i="8" s="1"/>
  <c r="T12" i="8" s="1"/>
  <c r="AA12" i="8"/>
  <c r="Z12" i="8"/>
  <c r="Q9" i="8"/>
  <c r="R9" i="8"/>
  <c r="R9" i="10"/>
  <c r="Q9" i="10"/>
  <c r="N10" i="12"/>
  <c r="K10" i="12" s="1"/>
  <c r="N10" i="8"/>
  <c r="B13" i="9"/>
  <c r="Z12" i="9"/>
  <c r="AC12" i="9"/>
  <c r="AB12" i="9"/>
  <c r="C12" i="9"/>
  <c r="A12" i="9" s="1"/>
  <c r="P12" i="9" s="1"/>
  <c r="T12" i="9" s="1"/>
  <c r="AA12" i="9"/>
  <c r="N10" i="9"/>
  <c r="R10" i="12"/>
  <c r="Q10" i="12"/>
  <c r="N11" i="7"/>
  <c r="C14" i="7" l="1"/>
  <c r="A14" i="7" s="1"/>
  <c r="P14" i="7" s="1"/>
  <c r="S11" i="7"/>
  <c r="T11" i="7"/>
  <c r="L13" i="9"/>
  <c r="T12" i="11"/>
  <c r="L13" i="12"/>
  <c r="T12" i="10"/>
  <c r="L13" i="11"/>
  <c r="T13" i="7"/>
  <c r="R11" i="7"/>
  <c r="AA14" i="7"/>
  <c r="Z14" i="7"/>
  <c r="B15" i="7"/>
  <c r="AE15" i="7" s="1"/>
  <c r="L12" i="10"/>
  <c r="L12" i="8"/>
  <c r="L13" i="7"/>
  <c r="M13" i="7" s="1"/>
  <c r="O13" i="7" s="1"/>
  <c r="Q13" i="7" s="1"/>
  <c r="AD14" i="7"/>
  <c r="AC14" i="7"/>
  <c r="AB14" i="7"/>
  <c r="Q11" i="7"/>
  <c r="K11" i="7"/>
  <c r="O11" i="10"/>
  <c r="M12" i="9"/>
  <c r="O12" i="9" s="1"/>
  <c r="S12" i="9" s="1"/>
  <c r="M12" i="12"/>
  <c r="O12" i="12" s="1"/>
  <c r="S12" i="12" s="1"/>
  <c r="AD13" i="10"/>
  <c r="AE13" i="10"/>
  <c r="M12" i="11"/>
  <c r="O12" i="11" s="1"/>
  <c r="S12" i="11" s="1"/>
  <c r="O11" i="11"/>
  <c r="S11" i="11" s="1"/>
  <c r="O11" i="8"/>
  <c r="S11" i="8" s="1"/>
  <c r="AD13" i="11"/>
  <c r="AE13" i="11"/>
  <c r="AD13" i="9"/>
  <c r="AE13" i="9"/>
  <c r="AD13" i="8"/>
  <c r="AE13" i="8"/>
  <c r="AE13" i="12"/>
  <c r="AD13" i="12"/>
  <c r="O12" i="7"/>
  <c r="T12" i="7" s="1"/>
  <c r="N11" i="8"/>
  <c r="Q11" i="12"/>
  <c r="N11" i="12"/>
  <c r="K11" i="12" s="1"/>
  <c r="Z13" i="11"/>
  <c r="AA13" i="11"/>
  <c r="B14" i="11"/>
  <c r="AB13" i="11"/>
  <c r="AC13" i="11"/>
  <c r="C13" i="11"/>
  <c r="A13" i="11" s="1"/>
  <c r="P13" i="11" s="1"/>
  <c r="AB13" i="9"/>
  <c r="AA13" i="9"/>
  <c r="Z13" i="9"/>
  <c r="B14" i="9"/>
  <c r="AC13" i="9"/>
  <c r="C13" i="9"/>
  <c r="A13" i="9" s="1"/>
  <c r="P13" i="9" s="1"/>
  <c r="M11" i="9"/>
  <c r="O11" i="9" s="1"/>
  <c r="S11" i="9" s="1"/>
  <c r="R10" i="9"/>
  <c r="K10" i="9"/>
  <c r="Q10" i="9"/>
  <c r="R10" i="8"/>
  <c r="Q10" i="8"/>
  <c r="K10" i="8"/>
  <c r="B14" i="8"/>
  <c r="AB13" i="8"/>
  <c r="Z13" i="8"/>
  <c r="C13" i="8"/>
  <c r="A13" i="8" s="1"/>
  <c r="P13" i="8" s="1"/>
  <c r="T13" i="8" s="1"/>
  <c r="AA13" i="8"/>
  <c r="AC13" i="8"/>
  <c r="B14" i="10"/>
  <c r="AC13" i="10"/>
  <c r="AA13" i="10"/>
  <c r="AB13" i="10"/>
  <c r="C13" i="10"/>
  <c r="A13" i="10" s="1"/>
  <c r="P13" i="10" s="1"/>
  <c r="T13" i="10" s="1"/>
  <c r="Z13" i="10"/>
  <c r="K10" i="11"/>
  <c r="Q10" i="11"/>
  <c r="R10" i="11"/>
  <c r="AA13" i="12"/>
  <c r="AB13" i="12"/>
  <c r="Z13" i="12"/>
  <c r="B14" i="12"/>
  <c r="AC13" i="12"/>
  <c r="C13" i="12"/>
  <c r="A13" i="12" s="1"/>
  <c r="P13" i="12" s="1"/>
  <c r="T13" i="12" s="1"/>
  <c r="R11" i="12"/>
  <c r="N12" i="7"/>
  <c r="AC15" i="7"/>
  <c r="C15" i="7" l="1"/>
  <c r="A15" i="7" s="1"/>
  <c r="P15" i="7" s="1"/>
  <c r="Z15" i="7"/>
  <c r="AD15" i="7"/>
  <c r="B16" i="7"/>
  <c r="AD16" i="7" s="1"/>
  <c r="AB15" i="7"/>
  <c r="AA15" i="7"/>
  <c r="K11" i="10"/>
  <c r="S11" i="10"/>
  <c r="L14" i="12"/>
  <c r="L14" i="9"/>
  <c r="S13" i="7"/>
  <c r="T13" i="11"/>
  <c r="T13" i="9"/>
  <c r="L14" i="11"/>
  <c r="R12" i="7"/>
  <c r="S12" i="7"/>
  <c r="L14" i="7"/>
  <c r="M14" i="7" s="1"/>
  <c r="O14" i="7" s="1"/>
  <c r="L13" i="10"/>
  <c r="M13" i="10" s="1"/>
  <c r="O13" i="10" s="1"/>
  <c r="S13" i="10" s="1"/>
  <c r="N13" i="7"/>
  <c r="K13" i="7" s="1"/>
  <c r="L13" i="8"/>
  <c r="R11" i="11"/>
  <c r="Q11" i="8"/>
  <c r="K11" i="8"/>
  <c r="R11" i="10"/>
  <c r="R13" i="7"/>
  <c r="R11" i="8"/>
  <c r="Q11" i="10"/>
  <c r="Q12" i="7"/>
  <c r="K12" i="7"/>
  <c r="N12" i="11"/>
  <c r="K12" i="11" s="1"/>
  <c r="Q11" i="11"/>
  <c r="K11" i="11"/>
  <c r="N12" i="9"/>
  <c r="K12" i="9" s="1"/>
  <c r="R12" i="9"/>
  <c r="Q12" i="11"/>
  <c r="R12" i="11"/>
  <c r="AD14" i="12"/>
  <c r="AE14" i="12"/>
  <c r="M13" i="12"/>
  <c r="O13" i="12" s="1"/>
  <c r="S13" i="12" s="1"/>
  <c r="AD14" i="8"/>
  <c r="AE14" i="8"/>
  <c r="AD14" i="9"/>
  <c r="AE14" i="9"/>
  <c r="AD14" i="10"/>
  <c r="AE14" i="10"/>
  <c r="Q12" i="9"/>
  <c r="M13" i="9"/>
  <c r="O13" i="9" s="1"/>
  <c r="S13" i="9" s="1"/>
  <c r="AD14" i="11"/>
  <c r="AE14" i="11"/>
  <c r="R12" i="12"/>
  <c r="Q12" i="12"/>
  <c r="M12" i="10"/>
  <c r="O12" i="10" s="1"/>
  <c r="S12" i="10" s="1"/>
  <c r="Q11" i="9"/>
  <c r="R11" i="9"/>
  <c r="B15" i="8"/>
  <c r="AC14" i="8"/>
  <c r="AA14" i="8"/>
  <c r="AB14" i="8"/>
  <c r="C14" i="8"/>
  <c r="A14" i="8" s="1"/>
  <c r="P14" i="8" s="1"/>
  <c r="Z14" i="8"/>
  <c r="C14" i="12"/>
  <c r="A14" i="12" s="1"/>
  <c r="P14" i="12" s="1"/>
  <c r="T14" i="12" s="1"/>
  <c r="AC14" i="12"/>
  <c r="AB14" i="12"/>
  <c r="Z14" i="12"/>
  <c r="B15" i="12"/>
  <c r="AA14" i="12"/>
  <c r="M12" i="8"/>
  <c r="O12" i="8" s="1"/>
  <c r="S12" i="8" s="1"/>
  <c r="B15" i="11"/>
  <c r="AC14" i="11"/>
  <c r="AB14" i="11"/>
  <c r="AA14" i="11"/>
  <c r="Z14" i="11"/>
  <c r="C14" i="11"/>
  <c r="A14" i="11" s="1"/>
  <c r="P14" i="11" s="1"/>
  <c r="T14" i="11" s="1"/>
  <c r="N12" i="12"/>
  <c r="K12" i="12" s="1"/>
  <c r="AC14" i="10"/>
  <c r="C14" i="10"/>
  <c r="A14" i="10" s="1"/>
  <c r="P14" i="10" s="1"/>
  <c r="AB14" i="10"/>
  <c r="AA14" i="10"/>
  <c r="Z14" i="10"/>
  <c r="B15" i="10"/>
  <c r="N11" i="9"/>
  <c r="K11" i="9" s="1"/>
  <c r="C14" i="9"/>
  <c r="A14" i="9" s="1"/>
  <c r="P14" i="9" s="1"/>
  <c r="B15" i="9"/>
  <c r="Z14" i="9"/>
  <c r="AA14" i="9"/>
  <c r="AB14" i="9"/>
  <c r="AC14" i="9"/>
  <c r="AC16" i="7"/>
  <c r="B17" i="7" l="1"/>
  <c r="AA16" i="7"/>
  <c r="Z16" i="7"/>
  <c r="AE16" i="7"/>
  <c r="C16" i="7"/>
  <c r="A16" i="7" s="1"/>
  <c r="P16" i="7" s="1"/>
  <c r="AB16" i="7"/>
  <c r="T14" i="7"/>
  <c r="S14" i="7"/>
  <c r="L15" i="7"/>
  <c r="M15" i="7" s="1"/>
  <c r="N15" i="7" s="1"/>
  <c r="L15" i="12"/>
  <c r="T14" i="8"/>
  <c r="L15" i="11"/>
  <c r="T14" i="10"/>
  <c r="T14" i="9"/>
  <c r="L15" i="9"/>
  <c r="L16" i="7"/>
  <c r="M16" i="7" s="1"/>
  <c r="N16" i="7" s="1"/>
  <c r="L14" i="8"/>
  <c r="L14" i="10"/>
  <c r="AE17" i="7"/>
  <c r="AD17" i="7"/>
  <c r="AE15" i="12"/>
  <c r="AD15" i="12"/>
  <c r="AD15" i="10"/>
  <c r="AE15" i="10"/>
  <c r="AD15" i="11"/>
  <c r="AE15" i="11"/>
  <c r="AD15" i="9"/>
  <c r="AE15" i="9"/>
  <c r="AD15" i="8"/>
  <c r="AE15" i="8"/>
  <c r="N12" i="8"/>
  <c r="K12" i="8" s="1"/>
  <c r="N13" i="12"/>
  <c r="K13" i="12" s="1"/>
  <c r="Q12" i="10"/>
  <c r="R12" i="10"/>
  <c r="M14" i="11"/>
  <c r="N14" i="11" s="1"/>
  <c r="N12" i="10"/>
  <c r="K12" i="10" s="1"/>
  <c r="R13" i="12"/>
  <c r="Q13" i="12"/>
  <c r="M13" i="11"/>
  <c r="O13" i="11" s="1"/>
  <c r="S13" i="11" s="1"/>
  <c r="B16" i="10"/>
  <c r="C15" i="10"/>
  <c r="A15" i="10" s="1"/>
  <c r="P15" i="10" s="1"/>
  <c r="T15" i="10" s="1"/>
  <c r="AC15" i="10"/>
  <c r="AA15" i="10"/>
  <c r="AB15" i="10"/>
  <c r="Z15" i="10"/>
  <c r="B16" i="11"/>
  <c r="AB15" i="11"/>
  <c r="C15" i="11"/>
  <c r="A15" i="11" s="1"/>
  <c r="P15" i="11" s="1"/>
  <c r="Z15" i="11"/>
  <c r="AC15" i="11"/>
  <c r="AA15" i="11"/>
  <c r="Z15" i="9"/>
  <c r="B16" i="9"/>
  <c r="AC15" i="9"/>
  <c r="AA15" i="9"/>
  <c r="C15" i="9"/>
  <c r="A15" i="9" s="1"/>
  <c r="P15" i="9" s="1"/>
  <c r="T15" i="9" s="1"/>
  <c r="AB15" i="9"/>
  <c r="M14" i="12"/>
  <c r="N14" i="12" s="1"/>
  <c r="Z15" i="8"/>
  <c r="AB15" i="8"/>
  <c r="B16" i="8"/>
  <c r="AA15" i="8"/>
  <c r="C15" i="8"/>
  <c r="A15" i="8" s="1"/>
  <c r="P15" i="8" s="1"/>
  <c r="T15" i="8" s="1"/>
  <c r="AC15" i="8"/>
  <c r="R12" i="8"/>
  <c r="Q12" i="8"/>
  <c r="Z15" i="12"/>
  <c r="B16" i="12"/>
  <c r="AC15" i="12"/>
  <c r="AA15" i="12"/>
  <c r="C15" i="12"/>
  <c r="A15" i="12" s="1"/>
  <c r="P15" i="12" s="1"/>
  <c r="AB15" i="12"/>
  <c r="M13" i="8"/>
  <c r="O13" i="8" s="1"/>
  <c r="S13" i="8" s="1"/>
  <c r="N13" i="9"/>
  <c r="N13" i="10"/>
  <c r="R14" i="7"/>
  <c r="Q14" i="7"/>
  <c r="N14" i="7"/>
  <c r="K14" i="7" s="1"/>
  <c r="Z17" i="7"/>
  <c r="AC17" i="7"/>
  <c r="AB17" i="7"/>
  <c r="B18" i="7"/>
  <c r="AA17" i="7"/>
  <c r="C17" i="7"/>
  <c r="A17" i="7" s="1"/>
  <c r="P17" i="7" s="1"/>
  <c r="O15" i="7" l="1"/>
  <c r="S15" i="7" s="1"/>
  <c r="T15" i="7"/>
  <c r="L16" i="9"/>
  <c r="T15" i="11"/>
  <c r="T15" i="12"/>
  <c r="L16" i="12"/>
  <c r="L16" i="11"/>
  <c r="L17" i="7"/>
  <c r="M17" i="7" s="1"/>
  <c r="N17" i="7" s="1"/>
  <c r="L15" i="10"/>
  <c r="L15" i="8"/>
  <c r="M15" i="8" s="1"/>
  <c r="M15" i="11"/>
  <c r="O15" i="11" s="1"/>
  <c r="S15" i="11" s="1"/>
  <c r="O14" i="12"/>
  <c r="AD16" i="12"/>
  <c r="AE16" i="12"/>
  <c r="AD16" i="10"/>
  <c r="AE16" i="10"/>
  <c r="O16" i="7"/>
  <c r="AD16" i="9"/>
  <c r="AE16" i="9"/>
  <c r="AD18" i="7"/>
  <c r="AE18" i="7"/>
  <c r="AD16" i="8"/>
  <c r="AE16" i="8"/>
  <c r="AD16" i="11"/>
  <c r="AE16" i="11"/>
  <c r="O14" i="11"/>
  <c r="M14" i="8"/>
  <c r="O14" i="8" s="1"/>
  <c r="S14" i="8" s="1"/>
  <c r="M15" i="12"/>
  <c r="O15" i="12" s="1"/>
  <c r="S15" i="12" s="1"/>
  <c r="M14" i="9"/>
  <c r="O14" i="9" s="1"/>
  <c r="S14" i="9" s="1"/>
  <c r="Q13" i="8"/>
  <c r="R13" i="8"/>
  <c r="M14" i="10"/>
  <c r="O14" i="10" s="1"/>
  <c r="S14" i="10" s="1"/>
  <c r="Q13" i="9"/>
  <c r="K13" i="9"/>
  <c r="R13" i="9"/>
  <c r="AC16" i="8"/>
  <c r="Z16" i="8"/>
  <c r="AB16" i="8"/>
  <c r="C16" i="8"/>
  <c r="A16" i="8" s="1"/>
  <c r="P16" i="8" s="1"/>
  <c r="S16" i="8" s="1"/>
  <c r="AA16" i="8"/>
  <c r="B17" i="8"/>
  <c r="AB16" i="10"/>
  <c r="Z16" i="10"/>
  <c r="B17" i="10"/>
  <c r="AC16" i="10"/>
  <c r="AA16" i="10"/>
  <c r="C16" i="10"/>
  <c r="A16" i="10" s="1"/>
  <c r="P16" i="10" s="1"/>
  <c r="T16" i="10" s="1"/>
  <c r="AA16" i="11"/>
  <c r="C16" i="11"/>
  <c r="A16" i="11" s="1"/>
  <c r="P16" i="11" s="1"/>
  <c r="AB16" i="11"/>
  <c r="AC16" i="11"/>
  <c r="B17" i="11"/>
  <c r="Z16" i="11"/>
  <c r="N13" i="11"/>
  <c r="K13" i="11" s="1"/>
  <c r="R13" i="10"/>
  <c r="K13" i="10"/>
  <c r="Q13" i="10"/>
  <c r="N13" i="8"/>
  <c r="K13" i="8" s="1"/>
  <c r="AC16" i="12"/>
  <c r="AA16" i="12"/>
  <c r="AB16" i="12"/>
  <c r="B17" i="12"/>
  <c r="Z16" i="12"/>
  <c r="C16" i="12"/>
  <c r="A16" i="12" s="1"/>
  <c r="P16" i="12" s="1"/>
  <c r="T16" i="12" s="1"/>
  <c r="AC16" i="9"/>
  <c r="AA16" i="9"/>
  <c r="B17" i="9"/>
  <c r="C16" i="9"/>
  <c r="A16" i="9" s="1"/>
  <c r="P16" i="9" s="1"/>
  <c r="T16" i="9" s="1"/>
  <c r="Z16" i="9"/>
  <c r="AB16" i="9"/>
  <c r="R13" i="11"/>
  <c r="Q13" i="11"/>
  <c r="K15" i="7"/>
  <c r="R15" i="7"/>
  <c r="Q15" i="7"/>
  <c r="AC18" i="7"/>
  <c r="Z18" i="7"/>
  <c r="B19" i="7"/>
  <c r="AA18" i="7"/>
  <c r="C18" i="7"/>
  <c r="A18" i="7" s="1"/>
  <c r="P18" i="7" s="1"/>
  <c r="AB18" i="7"/>
  <c r="S16" i="7" l="1"/>
  <c r="T16" i="7"/>
  <c r="L17" i="11"/>
  <c r="L17" i="10"/>
  <c r="Q14" i="12"/>
  <c r="S14" i="12"/>
  <c r="T16" i="11"/>
  <c r="L17" i="9"/>
  <c r="L17" i="12"/>
  <c r="R14" i="11"/>
  <c r="S14" i="11"/>
  <c r="T18" i="7"/>
  <c r="L16" i="8"/>
  <c r="L18" i="7"/>
  <c r="M18" i="7" s="1"/>
  <c r="O18" i="7" s="1"/>
  <c r="S18" i="7" s="1"/>
  <c r="L16" i="10"/>
  <c r="N14" i="9"/>
  <c r="K14" i="9" s="1"/>
  <c r="AD17" i="9"/>
  <c r="AE17" i="9"/>
  <c r="AD17" i="10"/>
  <c r="AE17" i="10"/>
  <c r="K14" i="11"/>
  <c r="O17" i="7"/>
  <c r="AD17" i="11"/>
  <c r="AE17" i="11"/>
  <c r="AE19" i="7"/>
  <c r="AD19" i="7"/>
  <c r="AE17" i="12"/>
  <c r="AD17" i="12"/>
  <c r="AD17" i="8"/>
  <c r="AE17" i="8"/>
  <c r="Q14" i="11"/>
  <c r="O15" i="8"/>
  <c r="S15" i="8" s="1"/>
  <c r="N15" i="8"/>
  <c r="R14" i="12"/>
  <c r="K14" i="12"/>
  <c r="N14" i="10"/>
  <c r="K14" i="10" s="1"/>
  <c r="Q15" i="12"/>
  <c r="N15" i="12"/>
  <c r="Q14" i="9"/>
  <c r="R14" i="9"/>
  <c r="N15" i="11"/>
  <c r="N14" i="8"/>
  <c r="K14" i="8" s="1"/>
  <c r="R14" i="8"/>
  <c r="Q14" i="8"/>
  <c r="Z17" i="9"/>
  <c r="AC17" i="9"/>
  <c r="B18" i="9"/>
  <c r="AB17" i="9"/>
  <c r="C17" i="9"/>
  <c r="A17" i="9" s="1"/>
  <c r="P17" i="9" s="1"/>
  <c r="T17" i="9" s="1"/>
  <c r="AA17" i="9"/>
  <c r="M15" i="10"/>
  <c r="O15" i="10" s="1"/>
  <c r="S15" i="10" s="1"/>
  <c r="M15" i="9"/>
  <c r="O15" i="9" s="1"/>
  <c r="S15" i="9" s="1"/>
  <c r="Q14" i="10"/>
  <c r="R14" i="10"/>
  <c r="B18" i="12"/>
  <c r="AA17" i="12"/>
  <c r="AC17" i="12"/>
  <c r="C17" i="12"/>
  <c r="A17" i="12" s="1"/>
  <c r="P17" i="12" s="1"/>
  <c r="T17" i="12" s="1"/>
  <c r="AB17" i="12"/>
  <c r="Z17" i="12"/>
  <c r="AA17" i="11"/>
  <c r="AC17" i="11"/>
  <c r="C17" i="11"/>
  <c r="A17" i="11" s="1"/>
  <c r="P17" i="11" s="1"/>
  <c r="T17" i="11" s="1"/>
  <c r="Z17" i="11"/>
  <c r="B18" i="11"/>
  <c r="AB17" i="11"/>
  <c r="B18" i="10"/>
  <c r="AC17" i="10"/>
  <c r="AA17" i="10"/>
  <c r="AB17" i="10"/>
  <c r="C17" i="10"/>
  <c r="A17" i="10" s="1"/>
  <c r="P17" i="10" s="1"/>
  <c r="T17" i="10" s="1"/>
  <c r="Z17" i="10"/>
  <c r="AA17" i="8"/>
  <c r="B18" i="8"/>
  <c r="AB17" i="8"/>
  <c r="Z17" i="8"/>
  <c r="AC17" i="8"/>
  <c r="C17" i="8"/>
  <c r="A17" i="8" s="1"/>
  <c r="P17" i="8" s="1"/>
  <c r="T17" i="8" s="1"/>
  <c r="R16" i="7"/>
  <c r="Q16" i="7"/>
  <c r="K16" i="7"/>
  <c r="AC19" i="7"/>
  <c r="AB19" i="7"/>
  <c r="AA19" i="7"/>
  <c r="B20" i="7"/>
  <c r="Z19" i="7"/>
  <c r="C19" i="7"/>
  <c r="A19" i="7" s="1"/>
  <c r="P19" i="7" s="1"/>
  <c r="T17" i="7" l="1"/>
  <c r="S17" i="7"/>
  <c r="L18" i="10"/>
  <c r="L18" i="12"/>
  <c r="L18" i="9"/>
  <c r="L18" i="11"/>
  <c r="L19" i="7"/>
  <c r="L17" i="8"/>
  <c r="Q15" i="8"/>
  <c r="R15" i="8"/>
  <c r="M17" i="12"/>
  <c r="O17" i="12" s="1"/>
  <c r="S17" i="12" s="1"/>
  <c r="AD18" i="9"/>
  <c r="AE18" i="9"/>
  <c r="M17" i="9"/>
  <c r="AD18" i="10"/>
  <c r="AE18" i="10"/>
  <c r="AD18" i="12"/>
  <c r="AE18" i="12"/>
  <c r="AD18" i="8"/>
  <c r="AE18" i="8"/>
  <c r="AD18" i="11"/>
  <c r="AE18" i="11"/>
  <c r="R18" i="7"/>
  <c r="AD20" i="7"/>
  <c r="AE20" i="7"/>
  <c r="K15" i="8"/>
  <c r="K15" i="12"/>
  <c r="R15" i="12"/>
  <c r="M16" i="8"/>
  <c r="O16" i="8" s="1"/>
  <c r="T16" i="8" s="1"/>
  <c r="M16" i="10"/>
  <c r="O16" i="10" s="1"/>
  <c r="S16" i="10" s="1"/>
  <c r="Q15" i="11"/>
  <c r="R15" i="11"/>
  <c r="K15" i="11"/>
  <c r="C18" i="8"/>
  <c r="A18" i="8" s="1"/>
  <c r="P18" i="8" s="1"/>
  <c r="T18" i="8" s="1"/>
  <c r="AB18" i="8"/>
  <c r="B19" i="8"/>
  <c r="Z18" i="8"/>
  <c r="AA18" i="8"/>
  <c r="AC18" i="8"/>
  <c r="M16" i="11"/>
  <c r="O16" i="11" s="1"/>
  <c r="S16" i="11" s="1"/>
  <c r="N15" i="9"/>
  <c r="K15" i="9" s="1"/>
  <c r="R15" i="9"/>
  <c r="Q15" i="9"/>
  <c r="M16" i="9"/>
  <c r="O16" i="9" s="1"/>
  <c r="S16" i="9" s="1"/>
  <c r="AA18" i="9"/>
  <c r="C18" i="9"/>
  <c r="A18" i="9" s="1"/>
  <c r="P18" i="9" s="1"/>
  <c r="T18" i="9" s="1"/>
  <c r="AB18" i="9"/>
  <c r="AC18" i="9"/>
  <c r="B19" i="9"/>
  <c r="Z18" i="9"/>
  <c r="AC18" i="11"/>
  <c r="AB18" i="11"/>
  <c r="B19" i="11"/>
  <c r="AA18" i="11"/>
  <c r="C18" i="11"/>
  <c r="A18" i="11" s="1"/>
  <c r="P18" i="11" s="1"/>
  <c r="T18" i="11" s="1"/>
  <c r="Z18" i="11"/>
  <c r="M17" i="11"/>
  <c r="O17" i="11" s="1"/>
  <c r="S17" i="11" s="1"/>
  <c r="C18" i="12"/>
  <c r="A18" i="12" s="1"/>
  <c r="P18" i="12" s="1"/>
  <c r="AB18" i="12"/>
  <c r="Z18" i="12"/>
  <c r="B19" i="12"/>
  <c r="AC18" i="12"/>
  <c r="AA18" i="12"/>
  <c r="N15" i="10"/>
  <c r="K15" i="10" s="1"/>
  <c r="B19" i="10"/>
  <c r="Z18" i="10"/>
  <c r="C18" i="10"/>
  <c r="A18" i="10" s="1"/>
  <c r="P18" i="10" s="1"/>
  <c r="T18" i="10" s="1"/>
  <c r="AC18" i="10"/>
  <c r="AA18" i="10"/>
  <c r="AB18" i="10"/>
  <c r="M16" i="12"/>
  <c r="O16" i="12" s="1"/>
  <c r="S16" i="12" s="1"/>
  <c r="Q15" i="10"/>
  <c r="R15" i="10"/>
  <c r="R17" i="7"/>
  <c r="Q17" i="7"/>
  <c r="Q18" i="7"/>
  <c r="N18" i="7"/>
  <c r="K18" i="7" s="1"/>
  <c r="AB20" i="7"/>
  <c r="Z20" i="7"/>
  <c r="B21" i="7"/>
  <c r="AA20" i="7"/>
  <c r="AC20" i="7"/>
  <c r="C20" i="7"/>
  <c r="A20" i="7" s="1"/>
  <c r="P20" i="7" s="1"/>
  <c r="K17" i="7"/>
  <c r="T18" i="12" l="1"/>
  <c r="L19" i="10"/>
  <c r="L19" i="12"/>
  <c r="L19" i="11"/>
  <c r="L19" i="9"/>
  <c r="L20" i="7"/>
  <c r="M20" i="7" s="1"/>
  <c r="L18" i="8"/>
  <c r="M18" i="8" s="1"/>
  <c r="O18" i="8" s="1"/>
  <c r="S18" i="8" s="1"/>
  <c r="O17" i="9"/>
  <c r="AD19" i="8"/>
  <c r="AE19" i="8"/>
  <c r="AE21" i="7"/>
  <c r="AD21" i="7"/>
  <c r="AD19" i="10"/>
  <c r="AE19" i="10"/>
  <c r="AE19" i="12"/>
  <c r="AD19" i="12"/>
  <c r="Q17" i="11"/>
  <c r="AD19" i="11"/>
  <c r="AE19" i="11"/>
  <c r="AD19" i="9"/>
  <c r="AE19" i="9"/>
  <c r="N17" i="9"/>
  <c r="N16" i="11"/>
  <c r="K16" i="11" s="1"/>
  <c r="N16" i="8"/>
  <c r="K16" i="8" s="1"/>
  <c r="M18" i="9"/>
  <c r="O18" i="9" s="1"/>
  <c r="S18" i="9" s="1"/>
  <c r="N17" i="11"/>
  <c r="K17" i="11" s="1"/>
  <c r="R17" i="11"/>
  <c r="R16" i="8"/>
  <c r="Q16" i="8"/>
  <c r="Q17" i="12"/>
  <c r="N17" i="12"/>
  <c r="N16" i="10"/>
  <c r="K16" i="10" s="1"/>
  <c r="Q16" i="10"/>
  <c r="R16" i="10"/>
  <c r="Q16" i="12"/>
  <c r="R16" i="12"/>
  <c r="M17" i="8"/>
  <c r="O17" i="8" s="1"/>
  <c r="S17" i="8" s="1"/>
  <c r="C19" i="12"/>
  <c r="A19" i="12" s="1"/>
  <c r="P19" i="12" s="1"/>
  <c r="T19" i="12" s="1"/>
  <c r="AB19" i="12"/>
  <c r="Z19" i="12"/>
  <c r="B20" i="12"/>
  <c r="AC19" i="12"/>
  <c r="AA19" i="12"/>
  <c r="B20" i="11"/>
  <c r="AB19" i="11"/>
  <c r="C19" i="11"/>
  <c r="A19" i="11" s="1"/>
  <c r="P19" i="11" s="1"/>
  <c r="T19" i="11" s="1"/>
  <c r="AA19" i="11"/>
  <c r="AC19" i="11"/>
  <c r="Z19" i="11"/>
  <c r="Z19" i="9"/>
  <c r="B20" i="9"/>
  <c r="AB19" i="9"/>
  <c r="AA19" i="9"/>
  <c r="AC19" i="9"/>
  <c r="C19" i="9"/>
  <c r="A19" i="9" s="1"/>
  <c r="P19" i="9" s="1"/>
  <c r="N16" i="9"/>
  <c r="K16" i="9" s="1"/>
  <c r="N16" i="12"/>
  <c r="K16" i="12" s="1"/>
  <c r="M18" i="10"/>
  <c r="O18" i="10" s="1"/>
  <c r="S18" i="10" s="1"/>
  <c r="AB19" i="10"/>
  <c r="B20" i="10"/>
  <c r="AA19" i="10"/>
  <c r="AC19" i="10"/>
  <c r="C19" i="10"/>
  <c r="A19" i="10" s="1"/>
  <c r="P19" i="10" s="1"/>
  <c r="T19" i="10" s="1"/>
  <c r="Z19" i="10"/>
  <c r="R16" i="9"/>
  <c r="Q16" i="9"/>
  <c r="M17" i="10"/>
  <c r="O17" i="10" s="1"/>
  <c r="S17" i="10" s="1"/>
  <c r="Q16" i="11"/>
  <c r="R16" i="11"/>
  <c r="AA19" i="8"/>
  <c r="AC19" i="8"/>
  <c r="AB19" i="8"/>
  <c r="B20" i="8"/>
  <c r="Z19" i="8"/>
  <c r="C19" i="8"/>
  <c r="A19" i="8" s="1"/>
  <c r="P19" i="8" s="1"/>
  <c r="T19" i="8" s="1"/>
  <c r="M19" i="7"/>
  <c r="AB21" i="7"/>
  <c r="AA21" i="7"/>
  <c r="AC21" i="7"/>
  <c r="C21" i="7"/>
  <c r="A21" i="7" s="1"/>
  <c r="P21" i="7" s="1"/>
  <c r="Z21" i="7"/>
  <c r="B22" i="7"/>
  <c r="L20" i="11" l="1"/>
  <c r="L20" i="9"/>
  <c r="Q17" i="9"/>
  <c r="S17" i="9"/>
  <c r="T19" i="9"/>
  <c r="L20" i="10"/>
  <c r="L20" i="12"/>
  <c r="L21" i="7"/>
  <c r="M21" i="7" s="1"/>
  <c r="O21" i="7" s="1"/>
  <c r="S21" i="7" s="1"/>
  <c r="L19" i="8"/>
  <c r="M19" i="8" s="1"/>
  <c r="O19" i="8" s="1"/>
  <c r="S19" i="8" s="1"/>
  <c r="M19" i="9"/>
  <c r="O19" i="9" s="1"/>
  <c r="S19" i="9" s="1"/>
  <c r="AD22" i="7"/>
  <c r="AE22" i="7"/>
  <c r="AD20" i="10"/>
  <c r="AE20" i="10"/>
  <c r="R17" i="9"/>
  <c r="M19" i="12"/>
  <c r="AD20" i="11"/>
  <c r="AE20" i="11"/>
  <c r="O19" i="7"/>
  <c r="T19" i="7" s="1"/>
  <c r="AD20" i="8"/>
  <c r="AE20" i="8"/>
  <c r="AD20" i="9"/>
  <c r="AE20" i="9"/>
  <c r="AD20" i="12"/>
  <c r="AE20" i="12"/>
  <c r="Q18" i="8"/>
  <c r="K17" i="9"/>
  <c r="O20" i="7"/>
  <c r="R17" i="12"/>
  <c r="K17" i="12"/>
  <c r="N18" i="8"/>
  <c r="K18" i="8" s="1"/>
  <c r="R18" i="8"/>
  <c r="M18" i="11"/>
  <c r="O18" i="11" s="1"/>
  <c r="S18" i="11" s="1"/>
  <c r="N18" i="9"/>
  <c r="K18" i="9" s="1"/>
  <c r="Q18" i="9"/>
  <c r="R18" i="9"/>
  <c r="M18" i="12"/>
  <c r="M19" i="11"/>
  <c r="O19" i="11" s="1"/>
  <c r="S19" i="11" s="1"/>
  <c r="N17" i="10"/>
  <c r="K17" i="10" s="1"/>
  <c r="R17" i="10"/>
  <c r="Q17" i="10"/>
  <c r="N18" i="10"/>
  <c r="AA20" i="11"/>
  <c r="C20" i="11"/>
  <c r="A20" i="11" s="1"/>
  <c r="P20" i="11" s="1"/>
  <c r="AB20" i="11"/>
  <c r="AC20" i="11"/>
  <c r="B21" i="11"/>
  <c r="Z20" i="11"/>
  <c r="B21" i="9"/>
  <c r="Z20" i="9"/>
  <c r="C20" i="9"/>
  <c r="A20" i="9" s="1"/>
  <c r="P20" i="9" s="1"/>
  <c r="AC20" i="9"/>
  <c r="AB20" i="9"/>
  <c r="AA20" i="9"/>
  <c r="AB20" i="10"/>
  <c r="Z20" i="10"/>
  <c r="B21" i="10"/>
  <c r="AC20" i="10"/>
  <c r="AA20" i="10"/>
  <c r="C20" i="10"/>
  <c r="A20" i="10" s="1"/>
  <c r="P20" i="10" s="1"/>
  <c r="T20" i="10" s="1"/>
  <c r="B21" i="12"/>
  <c r="Z20" i="12"/>
  <c r="C20" i="12"/>
  <c r="A20" i="12" s="1"/>
  <c r="P20" i="12" s="1"/>
  <c r="AC20" i="12"/>
  <c r="AA20" i="12"/>
  <c r="AB20" i="12"/>
  <c r="N17" i="8"/>
  <c r="K17" i="8" s="1"/>
  <c r="B21" i="8"/>
  <c r="AA20" i="8"/>
  <c r="Z20" i="8"/>
  <c r="C20" i="8"/>
  <c r="A20" i="8" s="1"/>
  <c r="P20" i="8" s="1"/>
  <c r="AC20" i="8"/>
  <c r="AB20" i="8"/>
  <c r="R17" i="8"/>
  <c r="Q17" i="8"/>
  <c r="Z22" i="7"/>
  <c r="AA22" i="7"/>
  <c r="AC22" i="7"/>
  <c r="B23" i="7"/>
  <c r="AB22" i="7"/>
  <c r="C22" i="7"/>
  <c r="A22" i="7" s="1"/>
  <c r="P22" i="7" s="1"/>
  <c r="N19" i="7"/>
  <c r="N20" i="7"/>
  <c r="T21" i="7" l="1"/>
  <c r="S20" i="7"/>
  <c r="T20" i="7"/>
  <c r="L21" i="11"/>
  <c r="R19" i="7"/>
  <c r="S19" i="7"/>
  <c r="T20" i="9"/>
  <c r="T20" i="8"/>
  <c r="L21" i="12"/>
  <c r="L21" i="10"/>
  <c r="L21" i="9"/>
  <c r="T20" i="12"/>
  <c r="T20" i="11"/>
  <c r="L20" i="8"/>
  <c r="M20" i="8" s="1"/>
  <c r="O20" i="8" s="1"/>
  <c r="S20" i="8" s="1"/>
  <c r="R20" i="7"/>
  <c r="L22" i="7"/>
  <c r="M22" i="7" s="1"/>
  <c r="K19" i="7"/>
  <c r="Q19" i="7"/>
  <c r="Q20" i="7"/>
  <c r="K20" i="7"/>
  <c r="M20" i="11"/>
  <c r="O20" i="11" s="1"/>
  <c r="S20" i="11" s="1"/>
  <c r="M20" i="12"/>
  <c r="O20" i="12" s="1"/>
  <c r="S20" i="12" s="1"/>
  <c r="N19" i="12"/>
  <c r="O19" i="12"/>
  <c r="S19" i="12" s="1"/>
  <c r="O18" i="12"/>
  <c r="S18" i="12" s="1"/>
  <c r="M20" i="10"/>
  <c r="O20" i="10" s="1"/>
  <c r="S20" i="10" s="1"/>
  <c r="AE23" i="7"/>
  <c r="AD23" i="7"/>
  <c r="AE21" i="12"/>
  <c r="AD21" i="12"/>
  <c r="AD21" i="10"/>
  <c r="AE21" i="10"/>
  <c r="AD21" i="9"/>
  <c r="AE21" i="9"/>
  <c r="Q19" i="8"/>
  <c r="AD21" i="8"/>
  <c r="AE21" i="8"/>
  <c r="Q21" i="7"/>
  <c r="AD21" i="11"/>
  <c r="AE21" i="11"/>
  <c r="R18" i="11"/>
  <c r="Q18" i="11"/>
  <c r="N18" i="11"/>
  <c r="K18" i="11" s="1"/>
  <c r="R19" i="8"/>
  <c r="N18" i="12"/>
  <c r="N19" i="8"/>
  <c r="K19" i="8" s="1"/>
  <c r="N19" i="11"/>
  <c r="N19" i="9"/>
  <c r="AB21" i="12"/>
  <c r="AC21" i="12"/>
  <c r="C21" i="12"/>
  <c r="A21" i="12" s="1"/>
  <c r="P21" i="12" s="1"/>
  <c r="T21" i="12" s="1"/>
  <c r="B22" i="12"/>
  <c r="Z21" i="12"/>
  <c r="AA21" i="12"/>
  <c r="AC21" i="10"/>
  <c r="AA21" i="10"/>
  <c r="AB21" i="10"/>
  <c r="B22" i="10"/>
  <c r="C21" i="10"/>
  <c r="A21" i="10" s="1"/>
  <c r="P21" i="10" s="1"/>
  <c r="Z21" i="10"/>
  <c r="B22" i="9"/>
  <c r="Z21" i="9"/>
  <c r="AB21" i="9"/>
  <c r="AC21" i="9"/>
  <c r="AA21" i="9"/>
  <c r="C21" i="9"/>
  <c r="A21" i="9" s="1"/>
  <c r="P21" i="9" s="1"/>
  <c r="T21" i="9" s="1"/>
  <c r="Q18" i="10"/>
  <c r="R18" i="10"/>
  <c r="K18" i="10"/>
  <c r="M19" i="10"/>
  <c r="O19" i="10" s="1"/>
  <c r="S19" i="10" s="1"/>
  <c r="AC21" i="8"/>
  <c r="AB21" i="8"/>
  <c r="Z21" i="8"/>
  <c r="AA21" i="8"/>
  <c r="B22" i="8"/>
  <c r="C21" i="8"/>
  <c r="A21" i="8" s="1"/>
  <c r="P21" i="8" s="1"/>
  <c r="T21" i="8" s="1"/>
  <c r="B22" i="11"/>
  <c r="AC21" i="11"/>
  <c r="C21" i="11"/>
  <c r="A21" i="11" s="1"/>
  <c r="P21" i="11" s="1"/>
  <c r="AA21" i="11"/>
  <c r="AB21" i="11"/>
  <c r="Z21" i="11"/>
  <c r="N21" i="7"/>
  <c r="K21" i="7" s="1"/>
  <c r="R21" i="7"/>
  <c r="Z23" i="7"/>
  <c r="C23" i="7"/>
  <c r="A23" i="7" s="1"/>
  <c r="P23" i="7" s="1"/>
  <c r="AA23" i="7"/>
  <c r="AB23" i="7"/>
  <c r="B24" i="7"/>
  <c r="AC23" i="7"/>
  <c r="L22" i="11" l="1"/>
  <c r="L22" i="9"/>
  <c r="T21" i="11"/>
  <c r="L22" i="10"/>
  <c r="L22" i="12"/>
  <c r="T21" i="10"/>
  <c r="L21" i="8"/>
  <c r="M21" i="8" s="1"/>
  <c r="O21" i="8" s="1"/>
  <c r="S21" i="8" s="1"/>
  <c r="L23" i="7"/>
  <c r="K18" i="12"/>
  <c r="Q19" i="12"/>
  <c r="R18" i="12"/>
  <c r="Q18" i="12"/>
  <c r="M21" i="11"/>
  <c r="O22" i="7"/>
  <c r="AD22" i="11"/>
  <c r="AE22" i="11"/>
  <c r="AD24" i="7"/>
  <c r="AE24" i="7"/>
  <c r="AD22" i="12"/>
  <c r="AE22" i="12"/>
  <c r="AD22" i="10"/>
  <c r="AE22" i="10"/>
  <c r="R20" i="10"/>
  <c r="M21" i="10"/>
  <c r="AD22" i="8"/>
  <c r="AE22" i="8"/>
  <c r="AD22" i="9"/>
  <c r="AE22" i="9"/>
  <c r="M21" i="12"/>
  <c r="K19" i="12"/>
  <c r="R19" i="12"/>
  <c r="N20" i="10"/>
  <c r="K20" i="10" s="1"/>
  <c r="Q20" i="10"/>
  <c r="N20" i="12"/>
  <c r="K20" i="12" s="1"/>
  <c r="M20" i="9"/>
  <c r="O20" i="9" s="1"/>
  <c r="S20" i="9" s="1"/>
  <c r="R19" i="11"/>
  <c r="Q19" i="11"/>
  <c r="K19" i="11"/>
  <c r="Q20" i="12"/>
  <c r="R20" i="12"/>
  <c r="B23" i="11"/>
  <c r="AC22" i="11"/>
  <c r="AA22" i="11"/>
  <c r="C22" i="11"/>
  <c r="A22" i="11" s="1"/>
  <c r="P22" i="11" s="1"/>
  <c r="T22" i="11" s="1"/>
  <c r="AB22" i="11"/>
  <c r="Z22" i="11"/>
  <c r="Q19" i="10"/>
  <c r="R19" i="10"/>
  <c r="AB22" i="10"/>
  <c r="Z22" i="10"/>
  <c r="B23" i="10"/>
  <c r="AC22" i="10"/>
  <c r="AA22" i="10"/>
  <c r="C22" i="10"/>
  <c r="A22" i="10" s="1"/>
  <c r="P22" i="10" s="1"/>
  <c r="B23" i="12"/>
  <c r="AC22" i="12"/>
  <c r="C22" i="12"/>
  <c r="A22" i="12" s="1"/>
  <c r="P22" i="12" s="1"/>
  <c r="T22" i="12" s="1"/>
  <c r="AA22" i="12"/>
  <c r="AB22" i="12"/>
  <c r="Z22" i="12"/>
  <c r="N20" i="11"/>
  <c r="C22" i="8"/>
  <c r="A22" i="8" s="1"/>
  <c r="P22" i="8" s="1"/>
  <c r="T22" i="8" s="1"/>
  <c r="AB22" i="8"/>
  <c r="AA22" i="8"/>
  <c r="B23" i="8"/>
  <c r="Z22" i="8"/>
  <c r="AC22" i="8"/>
  <c r="N20" i="8"/>
  <c r="B23" i="9"/>
  <c r="AC22" i="9"/>
  <c r="AA22" i="9"/>
  <c r="AB22" i="9"/>
  <c r="C22" i="9"/>
  <c r="A22" i="9" s="1"/>
  <c r="P22" i="9" s="1"/>
  <c r="T22" i="9" s="1"/>
  <c r="Z22" i="9"/>
  <c r="R19" i="9"/>
  <c r="Q19" i="9"/>
  <c r="K19" i="9"/>
  <c r="N19" i="10"/>
  <c r="K19" i="10" s="1"/>
  <c r="AA24" i="7"/>
  <c r="Z24" i="7"/>
  <c r="C24" i="7"/>
  <c r="A24" i="7" s="1"/>
  <c r="P24" i="7" s="1"/>
  <c r="AC24" i="7"/>
  <c r="B25" i="7"/>
  <c r="AB24" i="7"/>
  <c r="N22" i="7"/>
  <c r="S22" i="7" l="1"/>
  <c r="T22" i="7"/>
  <c r="L23" i="9"/>
  <c r="L23" i="11"/>
  <c r="T22" i="10"/>
  <c r="L23" i="12"/>
  <c r="L23" i="10"/>
  <c r="R22" i="7"/>
  <c r="L24" i="7"/>
  <c r="L22" i="8"/>
  <c r="K22" i="7"/>
  <c r="Q22" i="7"/>
  <c r="AE23" i="12"/>
  <c r="AD23" i="12"/>
  <c r="AD23" i="10"/>
  <c r="AE23" i="10"/>
  <c r="O21" i="12"/>
  <c r="O21" i="11"/>
  <c r="AD23" i="11"/>
  <c r="AE23" i="11"/>
  <c r="AE25" i="7"/>
  <c r="AD25" i="7"/>
  <c r="AD23" i="9"/>
  <c r="AE23" i="9"/>
  <c r="AD23" i="8"/>
  <c r="AE23" i="8"/>
  <c r="O21" i="10"/>
  <c r="N20" i="9"/>
  <c r="K20" i="9" s="1"/>
  <c r="R21" i="8"/>
  <c r="N21" i="8"/>
  <c r="K21" i="8" s="1"/>
  <c r="N21" i="11"/>
  <c r="Q21" i="8"/>
  <c r="M22" i="12"/>
  <c r="O22" i="12" s="1"/>
  <c r="S22" i="12" s="1"/>
  <c r="M22" i="10"/>
  <c r="O22" i="10" s="1"/>
  <c r="S22" i="10" s="1"/>
  <c r="N21" i="10"/>
  <c r="M21" i="9"/>
  <c r="O21" i="9" s="1"/>
  <c r="S21" i="9" s="1"/>
  <c r="R20" i="9"/>
  <c r="Q20" i="9"/>
  <c r="C23" i="9"/>
  <c r="A23" i="9" s="1"/>
  <c r="P23" i="9" s="1"/>
  <c r="T23" i="9" s="1"/>
  <c r="B24" i="9"/>
  <c r="AC23" i="9"/>
  <c r="AA23" i="9"/>
  <c r="AB23" i="9"/>
  <c r="Z23" i="9"/>
  <c r="N21" i="12"/>
  <c r="Q20" i="8"/>
  <c r="R20" i="8"/>
  <c r="K20" i="8"/>
  <c r="C23" i="8"/>
  <c r="A23" i="8" s="1"/>
  <c r="P23" i="8" s="1"/>
  <c r="T23" i="8" s="1"/>
  <c r="AC23" i="8"/>
  <c r="B24" i="8"/>
  <c r="AB23" i="8"/>
  <c r="AA23" i="8"/>
  <c r="Z23" i="8"/>
  <c r="Q20" i="11"/>
  <c r="R20" i="11"/>
  <c r="K20" i="11"/>
  <c r="Z23" i="12"/>
  <c r="B24" i="12"/>
  <c r="AC23" i="12"/>
  <c r="AA23" i="12"/>
  <c r="AB23" i="12"/>
  <c r="C23" i="12"/>
  <c r="A23" i="12" s="1"/>
  <c r="P23" i="12" s="1"/>
  <c r="T23" i="12" s="1"/>
  <c r="Z23" i="10"/>
  <c r="B24" i="10"/>
  <c r="AA23" i="10"/>
  <c r="AB23" i="10"/>
  <c r="C23" i="10"/>
  <c r="A23" i="10" s="1"/>
  <c r="P23" i="10" s="1"/>
  <c r="T23" i="10" s="1"/>
  <c r="AC23" i="10"/>
  <c r="B24" i="11"/>
  <c r="AC23" i="11"/>
  <c r="AA23" i="11"/>
  <c r="C23" i="11"/>
  <c r="A23" i="11" s="1"/>
  <c r="P23" i="11" s="1"/>
  <c r="T23" i="11" s="1"/>
  <c r="Z23" i="11"/>
  <c r="AB23" i="11"/>
  <c r="Z25" i="7"/>
  <c r="B26" i="7"/>
  <c r="AA25" i="7"/>
  <c r="C25" i="7"/>
  <c r="A25" i="7" s="1"/>
  <c r="P25" i="7" s="1"/>
  <c r="AC25" i="7"/>
  <c r="AB25" i="7"/>
  <c r="M23" i="7"/>
  <c r="O23" i="7" s="1"/>
  <c r="S23" i="7" l="1"/>
  <c r="T23" i="7"/>
  <c r="L24" i="9"/>
  <c r="Q21" i="12"/>
  <c r="S21" i="12"/>
  <c r="L24" i="12"/>
  <c r="R21" i="10"/>
  <c r="S21" i="10"/>
  <c r="L24" i="10"/>
  <c r="L24" i="11"/>
  <c r="R21" i="11"/>
  <c r="S21" i="11"/>
  <c r="L25" i="7"/>
  <c r="L23" i="8"/>
  <c r="Q21" i="10"/>
  <c r="K21" i="11"/>
  <c r="AD24" i="9"/>
  <c r="AE24" i="9"/>
  <c r="M23" i="9"/>
  <c r="M23" i="10"/>
  <c r="M23" i="12"/>
  <c r="O23" i="12" s="1"/>
  <c r="AD24" i="12"/>
  <c r="AE24" i="12"/>
  <c r="Q21" i="11"/>
  <c r="AD24" i="8"/>
  <c r="AE24" i="8"/>
  <c r="AD24" i="11"/>
  <c r="AE24" i="11"/>
  <c r="AD26" i="7"/>
  <c r="AE26" i="7"/>
  <c r="AD24" i="10"/>
  <c r="AE24" i="10"/>
  <c r="R21" i="12"/>
  <c r="K21" i="12"/>
  <c r="K21" i="10"/>
  <c r="N22" i="12"/>
  <c r="K22" i="12" s="1"/>
  <c r="Q21" i="9"/>
  <c r="R21" i="9"/>
  <c r="N22" i="10"/>
  <c r="N21" i="9"/>
  <c r="K21" i="9" s="1"/>
  <c r="M22" i="11"/>
  <c r="O22" i="11" s="1"/>
  <c r="S22" i="11" s="1"/>
  <c r="R22" i="12"/>
  <c r="Q22" i="12"/>
  <c r="AC24" i="11"/>
  <c r="AA24" i="11"/>
  <c r="AB24" i="11"/>
  <c r="B25" i="11"/>
  <c r="Z24" i="11"/>
  <c r="C24" i="11"/>
  <c r="A24" i="11" s="1"/>
  <c r="P24" i="11" s="1"/>
  <c r="T24" i="11" s="1"/>
  <c r="M22" i="9"/>
  <c r="O22" i="9" s="1"/>
  <c r="S22" i="9" s="1"/>
  <c r="B25" i="10"/>
  <c r="Z24" i="10"/>
  <c r="C24" i="10"/>
  <c r="A24" i="10" s="1"/>
  <c r="P24" i="10" s="1"/>
  <c r="AC24" i="10"/>
  <c r="AA24" i="10"/>
  <c r="AB24" i="10"/>
  <c r="AC24" i="12"/>
  <c r="AA24" i="12"/>
  <c r="AB24" i="12"/>
  <c r="B25" i="12"/>
  <c r="Z24" i="12"/>
  <c r="C24" i="12"/>
  <c r="A24" i="12" s="1"/>
  <c r="P24" i="12" s="1"/>
  <c r="Z24" i="8"/>
  <c r="C24" i="8"/>
  <c r="A24" i="8" s="1"/>
  <c r="P24" i="8" s="1"/>
  <c r="S24" i="8" s="1"/>
  <c r="B25" i="8"/>
  <c r="AB24" i="8"/>
  <c r="AA24" i="8"/>
  <c r="L24" i="8" s="1"/>
  <c r="AC24" i="8"/>
  <c r="B25" i="9"/>
  <c r="C24" i="9"/>
  <c r="A24" i="9" s="1"/>
  <c r="P24" i="9" s="1"/>
  <c r="Z24" i="9"/>
  <c r="AC24" i="9"/>
  <c r="AA24" i="9"/>
  <c r="AB24" i="9"/>
  <c r="M22" i="8"/>
  <c r="O22" i="8" s="1"/>
  <c r="S22" i="8" s="1"/>
  <c r="R23" i="7"/>
  <c r="Q23" i="7"/>
  <c r="AB26" i="7"/>
  <c r="C26" i="7"/>
  <c r="A26" i="7" s="1"/>
  <c r="P26" i="7" s="1"/>
  <c r="AC26" i="7"/>
  <c r="Z26" i="7"/>
  <c r="B27" i="7"/>
  <c r="AA26" i="7"/>
  <c r="N23" i="7"/>
  <c r="K23" i="7" s="1"/>
  <c r="M24" i="7"/>
  <c r="O24" i="7" s="1"/>
  <c r="T24" i="7" l="1"/>
  <c r="S24" i="7"/>
  <c r="L25" i="11"/>
  <c r="L25" i="10"/>
  <c r="T24" i="9"/>
  <c r="L25" i="9"/>
  <c r="Q23" i="12"/>
  <c r="S23" i="12"/>
  <c r="T24" i="10"/>
  <c r="T24" i="12"/>
  <c r="L25" i="12"/>
  <c r="L26" i="7"/>
  <c r="M26" i="7" s="1"/>
  <c r="N26" i="7" s="1"/>
  <c r="O23" i="10"/>
  <c r="S23" i="10" s="1"/>
  <c r="N23" i="10"/>
  <c r="N23" i="9"/>
  <c r="M24" i="11"/>
  <c r="O24" i="11" s="1"/>
  <c r="S24" i="11" s="1"/>
  <c r="M24" i="10"/>
  <c r="O24" i="10" s="1"/>
  <c r="S24" i="10" s="1"/>
  <c r="AD25" i="9"/>
  <c r="AE25" i="9"/>
  <c r="AD25" i="8"/>
  <c r="AE25" i="8"/>
  <c r="AD25" i="10"/>
  <c r="AE25" i="10"/>
  <c r="R23" i="12"/>
  <c r="M24" i="12"/>
  <c r="N24" i="12" s="1"/>
  <c r="M24" i="9"/>
  <c r="AE25" i="12"/>
  <c r="AD25" i="12"/>
  <c r="AE25" i="11"/>
  <c r="AD25" i="11"/>
  <c r="AE27" i="7"/>
  <c r="AD27" i="7"/>
  <c r="O23" i="9"/>
  <c r="N23" i="12"/>
  <c r="K23" i="12" s="1"/>
  <c r="N22" i="11"/>
  <c r="K22" i="11" s="1"/>
  <c r="M23" i="8"/>
  <c r="O23" i="8" s="1"/>
  <c r="S23" i="8" s="1"/>
  <c r="Q22" i="11"/>
  <c r="R22" i="11"/>
  <c r="K22" i="10"/>
  <c r="Q22" i="10"/>
  <c r="R22" i="10"/>
  <c r="N22" i="8"/>
  <c r="K22" i="8" s="1"/>
  <c r="N22" i="9"/>
  <c r="K22" i="9" s="1"/>
  <c r="AC25" i="11"/>
  <c r="C25" i="11"/>
  <c r="A25" i="11" s="1"/>
  <c r="P25" i="11" s="1"/>
  <c r="AB25" i="11"/>
  <c r="Z25" i="11"/>
  <c r="B26" i="11"/>
  <c r="AA25" i="11"/>
  <c r="Q22" i="8"/>
  <c r="R22" i="8"/>
  <c r="R22" i="9"/>
  <c r="Q22" i="9"/>
  <c r="M23" i="11"/>
  <c r="O23" i="11" s="1"/>
  <c r="S23" i="11" s="1"/>
  <c r="AB25" i="10"/>
  <c r="AA25" i="10"/>
  <c r="B26" i="10"/>
  <c r="C25" i="10"/>
  <c r="A25" i="10" s="1"/>
  <c r="P25" i="10" s="1"/>
  <c r="T25" i="10" s="1"/>
  <c r="AC25" i="10"/>
  <c r="Z25" i="10"/>
  <c r="AA25" i="9"/>
  <c r="B26" i="9"/>
  <c r="AC25" i="9"/>
  <c r="C25" i="9"/>
  <c r="A25" i="9" s="1"/>
  <c r="P25" i="9" s="1"/>
  <c r="T25" i="9" s="1"/>
  <c r="AB25" i="9"/>
  <c r="Z25" i="9"/>
  <c r="Z25" i="8"/>
  <c r="AC25" i="8"/>
  <c r="C25" i="8"/>
  <c r="A25" i="8" s="1"/>
  <c r="P25" i="8" s="1"/>
  <c r="T25" i="8" s="1"/>
  <c r="AA25" i="8"/>
  <c r="AB25" i="8"/>
  <c r="B26" i="8"/>
  <c r="AC25" i="12"/>
  <c r="C25" i="12"/>
  <c r="A25" i="12" s="1"/>
  <c r="P25" i="12" s="1"/>
  <c r="T25" i="12" s="1"/>
  <c r="AB25" i="12"/>
  <c r="Z25" i="12"/>
  <c r="B26" i="12"/>
  <c r="AA25" i="12"/>
  <c r="R24" i="7"/>
  <c r="Q24" i="7"/>
  <c r="AB27" i="7"/>
  <c r="C27" i="7"/>
  <c r="A27" i="7" s="1"/>
  <c r="P27" i="7" s="1"/>
  <c r="B28" i="7"/>
  <c r="AC27" i="7"/>
  <c r="Z27" i="7"/>
  <c r="AA27" i="7"/>
  <c r="M25" i="7"/>
  <c r="O25" i="7" s="1"/>
  <c r="N24" i="7"/>
  <c r="K24" i="7" s="1"/>
  <c r="K23" i="10" l="1"/>
  <c r="S25" i="7"/>
  <c r="T25" i="7"/>
  <c r="L26" i="12"/>
  <c r="L26" i="10"/>
  <c r="R23" i="9"/>
  <c r="S23" i="9"/>
  <c r="L26" i="11"/>
  <c r="T25" i="11"/>
  <c r="L26" i="9"/>
  <c r="L27" i="7"/>
  <c r="Q23" i="10"/>
  <c r="R23" i="10"/>
  <c r="L25" i="8"/>
  <c r="M25" i="8" s="1"/>
  <c r="N24" i="10"/>
  <c r="K24" i="10" s="1"/>
  <c r="Q23" i="9"/>
  <c r="M25" i="12"/>
  <c r="O25" i="12" s="1"/>
  <c r="S25" i="12" s="1"/>
  <c r="O24" i="9"/>
  <c r="S24" i="9" s="1"/>
  <c r="R24" i="10"/>
  <c r="Q24" i="10"/>
  <c r="AD26" i="9"/>
  <c r="AE26" i="9"/>
  <c r="O26" i="7"/>
  <c r="AD26" i="11"/>
  <c r="AE26" i="11"/>
  <c r="M25" i="11"/>
  <c r="N25" i="11" s="1"/>
  <c r="AD26" i="12"/>
  <c r="AE26" i="12"/>
  <c r="AD28" i="7"/>
  <c r="AE28" i="7"/>
  <c r="AD26" i="8"/>
  <c r="AE26" i="8"/>
  <c r="AD26" i="10"/>
  <c r="AE26" i="10"/>
  <c r="K23" i="9"/>
  <c r="O24" i="12"/>
  <c r="N23" i="8"/>
  <c r="K23" i="8" s="1"/>
  <c r="R23" i="8"/>
  <c r="Q23" i="8"/>
  <c r="N24" i="9"/>
  <c r="N23" i="11"/>
  <c r="K23" i="11" s="1"/>
  <c r="N24" i="11"/>
  <c r="Z26" i="12"/>
  <c r="C26" i="12"/>
  <c r="A26" i="12" s="1"/>
  <c r="P26" i="12" s="1"/>
  <c r="T26" i="12" s="1"/>
  <c r="B27" i="12"/>
  <c r="AC26" i="12"/>
  <c r="AA26" i="12"/>
  <c r="AB26" i="12"/>
  <c r="C26" i="8"/>
  <c r="A26" i="8" s="1"/>
  <c r="P26" i="8" s="1"/>
  <c r="T26" i="8" s="1"/>
  <c r="AC26" i="8"/>
  <c r="B27" i="8"/>
  <c r="AA26" i="8"/>
  <c r="AB26" i="8"/>
  <c r="Z26" i="8"/>
  <c r="Z26" i="10"/>
  <c r="C26" i="10"/>
  <c r="A26" i="10" s="1"/>
  <c r="P26" i="10" s="1"/>
  <c r="B27" i="10"/>
  <c r="AC26" i="10"/>
  <c r="AA26" i="10"/>
  <c r="AB26" i="10"/>
  <c r="Q23" i="11"/>
  <c r="R23" i="11"/>
  <c r="AA26" i="11"/>
  <c r="AB26" i="11"/>
  <c r="Z26" i="11"/>
  <c r="C26" i="11"/>
  <c r="A26" i="11" s="1"/>
  <c r="P26" i="11" s="1"/>
  <c r="B27" i="11"/>
  <c r="AC26" i="11"/>
  <c r="B27" i="9"/>
  <c r="AB26" i="9"/>
  <c r="AA26" i="9"/>
  <c r="Z26" i="9"/>
  <c r="AC26" i="9"/>
  <c r="C26" i="9"/>
  <c r="A26" i="9" s="1"/>
  <c r="P26" i="9" s="1"/>
  <c r="M24" i="8"/>
  <c r="O24" i="8" s="1"/>
  <c r="T24" i="8" s="1"/>
  <c r="R25" i="7"/>
  <c r="Q25" i="7"/>
  <c r="AB28" i="7"/>
  <c r="C28" i="7"/>
  <c r="A28" i="7" s="1"/>
  <c r="P28" i="7" s="1"/>
  <c r="AC28" i="7"/>
  <c r="B29" i="7"/>
  <c r="Z28" i="7"/>
  <c r="AA28" i="7"/>
  <c r="N25" i="7"/>
  <c r="K25" i="7" s="1"/>
  <c r="S26" i="7" l="1"/>
  <c r="T26" i="7"/>
  <c r="T26" i="9"/>
  <c r="L27" i="9"/>
  <c r="L27" i="12"/>
  <c r="T26" i="11"/>
  <c r="T26" i="10"/>
  <c r="Q24" i="12"/>
  <c r="S24" i="12"/>
  <c r="L27" i="10"/>
  <c r="L27" i="11"/>
  <c r="L28" i="7"/>
  <c r="L26" i="8"/>
  <c r="R24" i="12"/>
  <c r="Q24" i="9"/>
  <c r="K24" i="12"/>
  <c r="K24" i="9"/>
  <c r="M26" i="11"/>
  <c r="O26" i="11" s="1"/>
  <c r="S26" i="11" s="1"/>
  <c r="R24" i="9"/>
  <c r="O25" i="8"/>
  <c r="S25" i="8" s="1"/>
  <c r="AE27" i="11"/>
  <c r="AD27" i="11"/>
  <c r="AD27" i="10"/>
  <c r="AE27" i="10"/>
  <c r="AD27" i="8"/>
  <c r="AE27" i="8"/>
  <c r="AD27" i="9"/>
  <c r="AE27" i="9"/>
  <c r="M26" i="12"/>
  <c r="O26" i="12" s="1"/>
  <c r="S26" i="12" s="1"/>
  <c r="AE29" i="7"/>
  <c r="AD29" i="7"/>
  <c r="AE27" i="12"/>
  <c r="AD27" i="12"/>
  <c r="O25" i="11"/>
  <c r="S25" i="11" s="1"/>
  <c r="N25" i="8"/>
  <c r="N25" i="12"/>
  <c r="K25" i="12" s="1"/>
  <c r="K24" i="11"/>
  <c r="Q24" i="11"/>
  <c r="R24" i="11"/>
  <c r="N24" i="8"/>
  <c r="K24" i="8" s="1"/>
  <c r="B28" i="9"/>
  <c r="AC27" i="9"/>
  <c r="AA27" i="9"/>
  <c r="AB27" i="9"/>
  <c r="C27" i="9"/>
  <c r="A27" i="9" s="1"/>
  <c r="P27" i="9" s="1"/>
  <c r="T27" i="9" s="1"/>
  <c r="Z27" i="9"/>
  <c r="Q24" i="8"/>
  <c r="R24" i="8"/>
  <c r="AA27" i="11"/>
  <c r="AC27" i="11"/>
  <c r="Z27" i="11"/>
  <c r="AB27" i="11"/>
  <c r="C27" i="11"/>
  <c r="A27" i="11" s="1"/>
  <c r="P27" i="11" s="1"/>
  <c r="T27" i="11" s="1"/>
  <c r="B28" i="11"/>
  <c r="M25" i="9"/>
  <c r="O25" i="9" s="1"/>
  <c r="S25" i="9" s="1"/>
  <c r="R25" i="12"/>
  <c r="Q25" i="12"/>
  <c r="Z27" i="10"/>
  <c r="AC27" i="10"/>
  <c r="B28" i="10"/>
  <c r="AB27" i="10"/>
  <c r="C27" i="10"/>
  <c r="A27" i="10" s="1"/>
  <c r="P27" i="10" s="1"/>
  <c r="T27" i="10" s="1"/>
  <c r="AA27" i="10"/>
  <c r="AC27" i="8"/>
  <c r="B28" i="8"/>
  <c r="AB27" i="8"/>
  <c r="Z27" i="8"/>
  <c r="AA27" i="8"/>
  <c r="C27" i="8"/>
  <c r="A27" i="8" s="1"/>
  <c r="P27" i="8" s="1"/>
  <c r="T27" i="8" s="1"/>
  <c r="B28" i="12"/>
  <c r="AA27" i="12"/>
  <c r="AC27" i="12"/>
  <c r="Z27" i="12"/>
  <c r="AB27" i="12"/>
  <c r="C27" i="12"/>
  <c r="A27" i="12" s="1"/>
  <c r="P27" i="12" s="1"/>
  <c r="M25" i="10"/>
  <c r="O25" i="10" s="1"/>
  <c r="S25" i="10" s="1"/>
  <c r="Q26" i="7"/>
  <c r="K26" i="7"/>
  <c r="R26" i="7"/>
  <c r="M27" i="7"/>
  <c r="O27" i="7" s="1"/>
  <c r="AC29" i="7"/>
  <c r="B30" i="7"/>
  <c r="C29" i="7"/>
  <c r="A29" i="7" s="1"/>
  <c r="P29" i="7" s="1"/>
  <c r="AB29" i="7"/>
  <c r="Z29" i="7"/>
  <c r="AA29" i="7"/>
  <c r="T27" i="7" l="1"/>
  <c r="S27" i="7"/>
  <c r="L28" i="9"/>
  <c r="T27" i="12"/>
  <c r="L28" i="12"/>
  <c r="L28" i="10"/>
  <c r="L28" i="11"/>
  <c r="L29" i="7"/>
  <c r="M29" i="7" s="1"/>
  <c r="L27" i="8"/>
  <c r="R25" i="8"/>
  <c r="Q25" i="8"/>
  <c r="K25" i="8"/>
  <c r="AD28" i="8"/>
  <c r="AE28" i="8"/>
  <c r="AD28" i="9"/>
  <c r="AE28" i="9"/>
  <c r="AD30" i="7"/>
  <c r="AE30" i="7"/>
  <c r="AD28" i="10"/>
  <c r="AE28" i="10"/>
  <c r="AD28" i="11"/>
  <c r="AE28" i="11"/>
  <c r="M27" i="12"/>
  <c r="N27" i="12" s="1"/>
  <c r="M27" i="9"/>
  <c r="AD28" i="12"/>
  <c r="AE28" i="12"/>
  <c r="N25" i="9"/>
  <c r="K25" i="9" s="1"/>
  <c r="N26" i="12"/>
  <c r="K26" i="12" s="1"/>
  <c r="M26" i="9"/>
  <c r="O26" i="9" s="1"/>
  <c r="S26" i="9" s="1"/>
  <c r="M26" i="8"/>
  <c r="O26" i="8" s="1"/>
  <c r="S26" i="8" s="1"/>
  <c r="Q25" i="11"/>
  <c r="R25" i="11"/>
  <c r="K25" i="11"/>
  <c r="Q25" i="10"/>
  <c r="R25" i="10"/>
  <c r="C28" i="12"/>
  <c r="A28" i="12" s="1"/>
  <c r="P28" i="12" s="1"/>
  <c r="B29" i="12"/>
  <c r="AC28" i="12"/>
  <c r="AA28" i="12"/>
  <c r="AB28" i="12"/>
  <c r="Z28" i="12"/>
  <c r="B29" i="11"/>
  <c r="AC28" i="11"/>
  <c r="AA28" i="11"/>
  <c r="AB28" i="11"/>
  <c r="Z28" i="11"/>
  <c r="C28" i="11"/>
  <c r="A28" i="11" s="1"/>
  <c r="P28" i="11" s="1"/>
  <c r="T28" i="11" s="1"/>
  <c r="Z28" i="9"/>
  <c r="C28" i="9"/>
  <c r="A28" i="9" s="1"/>
  <c r="P28" i="9" s="1"/>
  <c r="T28" i="9" s="1"/>
  <c r="B29" i="9"/>
  <c r="AC28" i="9"/>
  <c r="AA28" i="9"/>
  <c r="AB28" i="9"/>
  <c r="B29" i="8"/>
  <c r="AB28" i="8"/>
  <c r="AA28" i="8"/>
  <c r="AC28" i="8"/>
  <c r="Z28" i="8"/>
  <c r="C28" i="8"/>
  <c r="A28" i="8" s="1"/>
  <c r="P28" i="8" s="1"/>
  <c r="T28" i="8" s="1"/>
  <c r="N26" i="11"/>
  <c r="M27" i="11"/>
  <c r="O27" i="11" s="1"/>
  <c r="S27" i="11" s="1"/>
  <c r="AA28" i="10"/>
  <c r="AB28" i="10"/>
  <c r="Z28" i="10"/>
  <c r="C28" i="10"/>
  <c r="A28" i="10" s="1"/>
  <c r="P28" i="10" s="1"/>
  <c r="T28" i="10" s="1"/>
  <c r="B29" i="10"/>
  <c r="AC28" i="10"/>
  <c r="M26" i="10"/>
  <c r="O26" i="10" s="1"/>
  <c r="S26" i="10" s="1"/>
  <c r="N25" i="10"/>
  <c r="K25" i="10" s="1"/>
  <c r="M27" i="10"/>
  <c r="R25" i="9"/>
  <c r="Q25" i="9"/>
  <c r="Q26" i="12"/>
  <c r="R26" i="12"/>
  <c r="N27" i="7"/>
  <c r="K27" i="7" s="1"/>
  <c r="R27" i="7"/>
  <c r="Q27" i="7"/>
  <c r="AB30" i="7"/>
  <c r="Z30" i="7"/>
  <c r="AA30" i="7"/>
  <c r="B31" i="7"/>
  <c r="AC30" i="7"/>
  <c r="C30" i="7"/>
  <c r="A30" i="7" s="1"/>
  <c r="P30" i="7" s="1"/>
  <c r="M28" i="7"/>
  <c r="O28" i="7" s="1"/>
  <c r="S28" i="7" l="1"/>
  <c r="T28" i="7"/>
  <c r="T28" i="12"/>
  <c r="L29" i="10"/>
  <c r="L29" i="9"/>
  <c r="L29" i="11"/>
  <c r="L29" i="12"/>
  <c r="L28" i="8"/>
  <c r="M28" i="8" s="1"/>
  <c r="L30" i="7"/>
  <c r="M30" i="7" s="1"/>
  <c r="N30" i="7" s="1"/>
  <c r="N29" i="7"/>
  <c r="O29" i="7"/>
  <c r="AD29" i="8"/>
  <c r="AE29" i="8"/>
  <c r="AD29" i="9"/>
  <c r="AE29" i="9"/>
  <c r="AE29" i="11"/>
  <c r="AD29" i="11"/>
  <c r="M28" i="10"/>
  <c r="O28" i="10" s="1"/>
  <c r="S28" i="10" s="1"/>
  <c r="AE29" i="12"/>
  <c r="AD29" i="12"/>
  <c r="AE31" i="7"/>
  <c r="AD31" i="7"/>
  <c r="O27" i="12"/>
  <c r="AD29" i="10"/>
  <c r="AE29" i="10"/>
  <c r="O27" i="9"/>
  <c r="O27" i="10"/>
  <c r="M28" i="12"/>
  <c r="O28" i="12" s="1"/>
  <c r="S28" i="12" s="1"/>
  <c r="N27" i="9"/>
  <c r="N27" i="10"/>
  <c r="N26" i="10"/>
  <c r="K26" i="10" s="1"/>
  <c r="N26" i="8"/>
  <c r="K26" i="8" s="1"/>
  <c r="Q26" i="8"/>
  <c r="R26" i="8"/>
  <c r="N26" i="9"/>
  <c r="K26" i="9" s="1"/>
  <c r="R26" i="9"/>
  <c r="Q26" i="9"/>
  <c r="Q26" i="10"/>
  <c r="R26" i="10"/>
  <c r="N27" i="11"/>
  <c r="AC29" i="8"/>
  <c r="AA29" i="8"/>
  <c r="C29" i="8"/>
  <c r="A29" i="8" s="1"/>
  <c r="P29" i="8" s="1"/>
  <c r="T29" i="8" s="1"/>
  <c r="Z29" i="8"/>
  <c r="AB29" i="8"/>
  <c r="B30" i="8"/>
  <c r="AB29" i="9"/>
  <c r="Z29" i="9"/>
  <c r="AA29" i="9"/>
  <c r="C29" i="9"/>
  <c r="A29" i="9" s="1"/>
  <c r="P29" i="9" s="1"/>
  <c r="AC29" i="9"/>
  <c r="B30" i="9"/>
  <c r="AC29" i="11"/>
  <c r="Z29" i="11"/>
  <c r="AB29" i="11"/>
  <c r="C29" i="11"/>
  <c r="A29" i="11" s="1"/>
  <c r="P29" i="11" s="1"/>
  <c r="B30" i="11"/>
  <c r="AA29" i="11"/>
  <c r="R26" i="11"/>
  <c r="K26" i="11"/>
  <c r="Q26" i="11"/>
  <c r="AC29" i="10"/>
  <c r="AA29" i="10"/>
  <c r="AB29" i="10"/>
  <c r="Z29" i="10"/>
  <c r="B30" i="10"/>
  <c r="C29" i="10"/>
  <c r="A29" i="10" s="1"/>
  <c r="P29" i="10" s="1"/>
  <c r="M27" i="8"/>
  <c r="O27" i="8" s="1"/>
  <c r="S27" i="8" s="1"/>
  <c r="B30" i="12"/>
  <c r="AA29" i="12"/>
  <c r="AC29" i="12"/>
  <c r="C29" i="12"/>
  <c r="A29" i="12" s="1"/>
  <c r="P29" i="12" s="1"/>
  <c r="T29" i="12" s="1"/>
  <c r="AB29" i="12"/>
  <c r="Z29" i="12"/>
  <c r="R28" i="7"/>
  <c r="Q28" i="7"/>
  <c r="N28" i="7"/>
  <c r="K28" i="7" s="1"/>
  <c r="AB31" i="7"/>
  <c r="B32" i="7"/>
  <c r="AA31" i="7"/>
  <c r="AC31" i="7"/>
  <c r="C31" i="7"/>
  <c r="A31" i="7" s="1"/>
  <c r="P31" i="7" s="1"/>
  <c r="Z31" i="7"/>
  <c r="S29" i="7" l="1"/>
  <c r="T29" i="7"/>
  <c r="R27" i="9"/>
  <c r="S27" i="9"/>
  <c r="T29" i="9"/>
  <c r="L30" i="12"/>
  <c r="L30" i="11"/>
  <c r="T29" i="11"/>
  <c r="T29" i="10"/>
  <c r="L30" i="9"/>
  <c r="L30" i="10"/>
  <c r="Q27" i="10"/>
  <c r="S27" i="10"/>
  <c r="K27" i="12"/>
  <c r="S27" i="12"/>
  <c r="Q29" i="7"/>
  <c r="L31" i="7"/>
  <c r="M31" i="7" s="1"/>
  <c r="N31" i="7" s="1"/>
  <c r="L29" i="8"/>
  <c r="R27" i="12"/>
  <c r="R27" i="10"/>
  <c r="K27" i="10"/>
  <c r="Q27" i="9"/>
  <c r="K27" i="9"/>
  <c r="Q27" i="12"/>
  <c r="M29" i="9"/>
  <c r="AD30" i="8"/>
  <c r="AE30" i="8"/>
  <c r="AD30" i="11"/>
  <c r="AE30" i="11"/>
  <c r="AD32" i="7"/>
  <c r="AE32" i="7"/>
  <c r="AD30" i="12"/>
  <c r="AE30" i="12"/>
  <c r="AD30" i="9"/>
  <c r="AE30" i="9"/>
  <c r="M29" i="12"/>
  <c r="AD30" i="10"/>
  <c r="AE30" i="10"/>
  <c r="O30" i="7"/>
  <c r="T30" i="7" s="1"/>
  <c r="O28" i="8"/>
  <c r="N27" i="8"/>
  <c r="K27" i="8" s="1"/>
  <c r="N28" i="8"/>
  <c r="N28" i="12"/>
  <c r="K28" i="12" s="1"/>
  <c r="R27" i="8"/>
  <c r="Q27" i="8"/>
  <c r="N28" i="10"/>
  <c r="Z30" i="11"/>
  <c r="C30" i="11"/>
  <c r="A30" i="11" s="1"/>
  <c r="P30" i="11" s="1"/>
  <c r="T30" i="11" s="1"/>
  <c r="B31" i="11"/>
  <c r="AC30" i="11"/>
  <c r="AA30" i="11"/>
  <c r="AB30" i="11"/>
  <c r="M28" i="11"/>
  <c r="O28" i="11" s="1"/>
  <c r="S28" i="11" s="1"/>
  <c r="AA30" i="9"/>
  <c r="AC30" i="9"/>
  <c r="Z30" i="9"/>
  <c r="C30" i="9"/>
  <c r="A30" i="9" s="1"/>
  <c r="P30" i="9" s="1"/>
  <c r="B31" i="9"/>
  <c r="AB30" i="9"/>
  <c r="Q27" i="11"/>
  <c r="R27" i="11"/>
  <c r="K27" i="11"/>
  <c r="B31" i="12"/>
  <c r="AC30" i="12"/>
  <c r="AA30" i="12"/>
  <c r="AB30" i="12"/>
  <c r="Z30" i="12"/>
  <c r="C30" i="12"/>
  <c r="A30" i="12" s="1"/>
  <c r="P30" i="12" s="1"/>
  <c r="T30" i="12" s="1"/>
  <c r="M28" i="9"/>
  <c r="O28" i="9" s="1"/>
  <c r="S28" i="9" s="1"/>
  <c r="C30" i="10"/>
  <c r="A30" i="10" s="1"/>
  <c r="P30" i="10" s="1"/>
  <c r="T30" i="10" s="1"/>
  <c r="B31" i="10"/>
  <c r="AC30" i="10"/>
  <c r="AA30" i="10"/>
  <c r="AB30" i="10"/>
  <c r="Z30" i="10"/>
  <c r="AB30" i="8"/>
  <c r="Z30" i="8"/>
  <c r="B31" i="8"/>
  <c r="AC30" i="8"/>
  <c r="AA30" i="8"/>
  <c r="C30" i="8"/>
  <c r="A30" i="8" s="1"/>
  <c r="P30" i="8" s="1"/>
  <c r="Q28" i="12"/>
  <c r="R28" i="12"/>
  <c r="R29" i="7"/>
  <c r="K29" i="7"/>
  <c r="AB32" i="7"/>
  <c r="AA32" i="7"/>
  <c r="B33" i="7"/>
  <c r="AC32" i="7"/>
  <c r="C32" i="7"/>
  <c r="A32" i="7" s="1"/>
  <c r="P32" i="7" s="1"/>
  <c r="Z32" i="7"/>
  <c r="R28" i="8" l="1"/>
  <c r="S28" i="8"/>
  <c r="L31" i="11"/>
  <c r="T30" i="9"/>
  <c r="L31" i="10"/>
  <c r="L31" i="12"/>
  <c r="K30" i="7"/>
  <c r="S30" i="7"/>
  <c r="T30" i="8"/>
  <c r="L31" i="9"/>
  <c r="L30" i="8"/>
  <c r="M30" i="8" s="1"/>
  <c r="N30" i="8" s="1"/>
  <c r="L32" i="7"/>
  <c r="M32" i="7" s="1"/>
  <c r="O32" i="7" s="1"/>
  <c r="S32" i="7" s="1"/>
  <c r="M29" i="11"/>
  <c r="O29" i="11" s="1"/>
  <c r="Q28" i="8"/>
  <c r="N29" i="12"/>
  <c r="O29" i="12"/>
  <c r="S29" i="12" s="1"/>
  <c r="AD31" i="8"/>
  <c r="AE31" i="8"/>
  <c r="AD31" i="9"/>
  <c r="AE31" i="9"/>
  <c r="K28" i="8"/>
  <c r="M30" i="10"/>
  <c r="AE33" i="7"/>
  <c r="AD33" i="7"/>
  <c r="AD31" i="10"/>
  <c r="AE31" i="10"/>
  <c r="AE31" i="12"/>
  <c r="AD31" i="12"/>
  <c r="O29" i="9"/>
  <c r="S29" i="9" s="1"/>
  <c r="AE31" i="11"/>
  <c r="AD31" i="11"/>
  <c r="O31" i="7"/>
  <c r="N28" i="11"/>
  <c r="K28" i="11" s="1"/>
  <c r="N29" i="9"/>
  <c r="N28" i="9"/>
  <c r="K28" i="9" s="1"/>
  <c r="M29" i="8"/>
  <c r="O29" i="8" s="1"/>
  <c r="S29" i="8" s="1"/>
  <c r="M30" i="12"/>
  <c r="Q28" i="9"/>
  <c r="R28" i="9"/>
  <c r="AC31" i="12"/>
  <c r="AA31" i="12"/>
  <c r="AB31" i="12"/>
  <c r="B32" i="12"/>
  <c r="Z31" i="12"/>
  <c r="C31" i="12"/>
  <c r="A31" i="12" s="1"/>
  <c r="P31" i="12" s="1"/>
  <c r="T31" i="12" s="1"/>
  <c r="C31" i="8"/>
  <c r="A31" i="8" s="1"/>
  <c r="P31" i="8" s="1"/>
  <c r="S31" i="8" s="1"/>
  <c r="Z31" i="8"/>
  <c r="AB31" i="8"/>
  <c r="AA31" i="8"/>
  <c r="AC31" i="8"/>
  <c r="B32" i="8"/>
  <c r="Z31" i="10"/>
  <c r="B32" i="10"/>
  <c r="AC31" i="10"/>
  <c r="C31" i="10"/>
  <c r="A31" i="10" s="1"/>
  <c r="P31" i="10" s="1"/>
  <c r="T31" i="10" s="1"/>
  <c r="AB31" i="10"/>
  <c r="AA31" i="10"/>
  <c r="R28" i="11"/>
  <c r="Q28" i="11"/>
  <c r="AC31" i="9"/>
  <c r="AB31" i="9"/>
  <c r="AA31" i="9"/>
  <c r="B32" i="9"/>
  <c r="Z31" i="9"/>
  <c r="C31" i="9"/>
  <c r="A31" i="9" s="1"/>
  <c r="P31" i="9" s="1"/>
  <c r="T31" i="9" s="1"/>
  <c r="K28" i="10"/>
  <c r="R28" i="10"/>
  <c r="Q28" i="10"/>
  <c r="M29" i="10"/>
  <c r="O29" i="10" s="1"/>
  <c r="S29" i="10" s="1"/>
  <c r="B32" i="11"/>
  <c r="Z31" i="11"/>
  <c r="C31" i="11"/>
  <c r="A31" i="11" s="1"/>
  <c r="P31" i="11" s="1"/>
  <c r="T31" i="11" s="1"/>
  <c r="AC31" i="11"/>
  <c r="AA31" i="11"/>
  <c r="AB31" i="11"/>
  <c r="R30" i="7"/>
  <c r="Q30" i="7"/>
  <c r="AA33" i="7"/>
  <c r="AB33" i="7"/>
  <c r="Z33" i="7"/>
  <c r="C33" i="7"/>
  <c r="A33" i="7" s="1"/>
  <c r="P33" i="7" s="1"/>
  <c r="B34" i="7"/>
  <c r="AC33" i="7"/>
  <c r="T32" i="7" l="1"/>
  <c r="T31" i="7"/>
  <c r="S31" i="7"/>
  <c r="L32" i="12"/>
  <c r="L32" i="9"/>
  <c r="L32" i="11"/>
  <c r="L32" i="10"/>
  <c r="R29" i="11"/>
  <c r="S29" i="11"/>
  <c r="L31" i="8"/>
  <c r="M31" i="8" s="1"/>
  <c r="O31" i="8" s="1"/>
  <c r="T31" i="8" s="1"/>
  <c r="L33" i="7"/>
  <c r="M33" i="7" s="1"/>
  <c r="R29" i="9"/>
  <c r="Q29" i="11"/>
  <c r="K29" i="9"/>
  <c r="N29" i="11"/>
  <c r="K29" i="11" s="1"/>
  <c r="Q29" i="9"/>
  <c r="M31" i="12"/>
  <c r="O31" i="12" s="1"/>
  <c r="S31" i="12" s="1"/>
  <c r="M31" i="10"/>
  <c r="O30" i="10"/>
  <c r="AD32" i="8"/>
  <c r="AE32" i="8"/>
  <c r="AD32" i="12"/>
  <c r="AE32" i="12"/>
  <c r="O30" i="8"/>
  <c r="S30" i="8" s="1"/>
  <c r="M31" i="9"/>
  <c r="O31" i="9" s="1"/>
  <c r="S31" i="9" s="1"/>
  <c r="AD34" i="7"/>
  <c r="AE34" i="7"/>
  <c r="AD32" i="10"/>
  <c r="AE32" i="10"/>
  <c r="AD32" i="11"/>
  <c r="AE32" i="11"/>
  <c r="AD32" i="9"/>
  <c r="AE32" i="9"/>
  <c r="O30" i="12"/>
  <c r="S30" i="12" s="1"/>
  <c r="Q29" i="12"/>
  <c r="K29" i="12"/>
  <c r="R29" i="12"/>
  <c r="N30" i="10"/>
  <c r="N29" i="8"/>
  <c r="K29" i="8" s="1"/>
  <c r="N29" i="10"/>
  <c r="K29" i="10" s="1"/>
  <c r="N30" i="12"/>
  <c r="R29" i="8"/>
  <c r="Q29" i="8"/>
  <c r="AA32" i="8"/>
  <c r="AB32" i="8"/>
  <c r="Z32" i="8"/>
  <c r="AC32" i="8"/>
  <c r="B33" i="8"/>
  <c r="C32" i="8"/>
  <c r="A32" i="8" s="1"/>
  <c r="P32" i="8" s="1"/>
  <c r="T32" i="8" s="1"/>
  <c r="Q29" i="10"/>
  <c r="R29" i="10"/>
  <c r="AA32" i="9"/>
  <c r="C32" i="9"/>
  <c r="A32" i="9" s="1"/>
  <c r="P32" i="9" s="1"/>
  <c r="T32" i="9" s="1"/>
  <c r="AB32" i="9"/>
  <c r="Z32" i="9"/>
  <c r="B33" i="9"/>
  <c r="AC32" i="9"/>
  <c r="M30" i="11"/>
  <c r="O30" i="11" s="1"/>
  <c r="S30" i="11" s="1"/>
  <c r="M30" i="9"/>
  <c r="O30" i="9" s="1"/>
  <c r="S30" i="9" s="1"/>
  <c r="AB32" i="10"/>
  <c r="Z32" i="10"/>
  <c r="B33" i="10"/>
  <c r="AC32" i="10"/>
  <c r="AA32" i="10"/>
  <c r="C32" i="10"/>
  <c r="A32" i="10" s="1"/>
  <c r="P32" i="10" s="1"/>
  <c r="Z32" i="12"/>
  <c r="B33" i="12"/>
  <c r="AC32" i="12"/>
  <c r="AA32" i="12"/>
  <c r="C32" i="12"/>
  <c r="A32" i="12" s="1"/>
  <c r="P32" i="12" s="1"/>
  <c r="T32" i="12" s="1"/>
  <c r="AB32" i="12"/>
  <c r="Z32" i="11"/>
  <c r="B33" i="11"/>
  <c r="AC32" i="11"/>
  <c r="AA32" i="11"/>
  <c r="C32" i="11"/>
  <c r="A32" i="11" s="1"/>
  <c r="P32" i="11" s="1"/>
  <c r="AB32" i="11"/>
  <c r="R31" i="7"/>
  <c r="Q31" i="7"/>
  <c r="K31" i="7"/>
  <c r="N32" i="7"/>
  <c r="AC34" i="7"/>
  <c r="C34" i="7"/>
  <c r="A34" i="7" s="1"/>
  <c r="P34" i="7" s="1"/>
  <c r="Z34" i="7"/>
  <c r="AB34" i="7"/>
  <c r="AA34" i="7"/>
  <c r="B35" i="7"/>
  <c r="T32" i="11" l="1"/>
  <c r="L33" i="10"/>
  <c r="L33" i="9"/>
  <c r="T32" i="10"/>
  <c r="L33" i="11"/>
  <c r="L33" i="12"/>
  <c r="Q30" i="10"/>
  <c r="S30" i="10"/>
  <c r="L32" i="8"/>
  <c r="M32" i="8" s="1"/>
  <c r="O32" i="8" s="1"/>
  <c r="L34" i="7"/>
  <c r="M34" i="7" s="1"/>
  <c r="O34" i="7" s="1"/>
  <c r="S34" i="7" s="1"/>
  <c r="K30" i="10"/>
  <c r="R30" i="10"/>
  <c r="Q30" i="8"/>
  <c r="R30" i="8"/>
  <c r="R30" i="12"/>
  <c r="AE33" i="11"/>
  <c r="AD33" i="11"/>
  <c r="AD33" i="8"/>
  <c r="AE33" i="8"/>
  <c r="Q30" i="12"/>
  <c r="O33" i="7"/>
  <c r="T33" i="7" s="1"/>
  <c r="AE33" i="12"/>
  <c r="AD33" i="12"/>
  <c r="AD33" i="10"/>
  <c r="AE33" i="10"/>
  <c r="O31" i="10"/>
  <c r="K30" i="12"/>
  <c r="AE35" i="7"/>
  <c r="AD35" i="7"/>
  <c r="AD33" i="9"/>
  <c r="AE33" i="9"/>
  <c r="K30" i="8"/>
  <c r="N30" i="11"/>
  <c r="K30" i="11" s="1"/>
  <c r="N31" i="12"/>
  <c r="R31" i="12"/>
  <c r="AB33" i="8"/>
  <c r="C33" i="8"/>
  <c r="A33" i="8" s="1"/>
  <c r="P33" i="8" s="1"/>
  <c r="T33" i="8" s="1"/>
  <c r="AA33" i="8"/>
  <c r="B34" i="8"/>
  <c r="Z33" i="8"/>
  <c r="AC33" i="8"/>
  <c r="AC33" i="11"/>
  <c r="AA33" i="11"/>
  <c r="AB33" i="11"/>
  <c r="B34" i="11"/>
  <c r="Z33" i="11"/>
  <c r="C33" i="11"/>
  <c r="A33" i="11" s="1"/>
  <c r="P33" i="11" s="1"/>
  <c r="T33" i="11" s="1"/>
  <c r="N31" i="9"/>
  <c r="Q30" i="11"/>
  <c r="R30" i="11"/>
  <c r="M32" i="12"/>
  <c r="N31" i="8"/>
  <c r="Z33" i="10"/>
  <c r="AB33" i="10"/>
  <c r="AC33" i="10"/>
  <c r="AA33" i="10"/>
  <c r="B34" i="10"/>
  <c r="C33" i="10"/>
  <c r="A33" i="10" s="1"/>
  <c r="P33" i="10" s="1"/>
  <c r="AC33" i="12"/>
  <c r="AA33" i="12"/>
  <c r="AB33" i="12"/>
  <c r="B34" i="12"/>
  <c r="Z33" i="12"/>
  <c r="C33" i="12"/>
  <c r="A33" i="12" s="1"/>
  <c r="P33" i="12" s="1"/>
  <c r="T33" i="12" s="1"/>
  <c r="N30" i="9"/>
  <c r="K30" i="9" s="1"/>
  <c r="N31" i="10"/>
  <c r="M32" i="11"/>
  <c r="M31" i="11"/>
  <c r="O31" i="11" s="1"/>
  <c r="S31" i="11" s="1"/>
  <c r="Q30" i="9"/>
  <c r="R30" i="9"/>
  <c r="C33" i="9"/>
  <c r="A33" i="9" s="1"/>
  <c r="P33" i="9" s="1"/>
  <c r="Z33" i="9"/>
  <c r="AB33" i="9"/>
  <c r="AC33" i="9"/>
  <c r="AA33" i="9"/>
  <c r="B34" i="9"/>
  <c r="R32" i="7"/>
  <c r="Q32" i="7"/>
  <c r="K32" i="7"/>
  <c r="N33" i="7"/>
  <c r="AA35" i="7"/>
  <c r="Z35" i="7"/>
  <c r="AB35" i="7"/>
  <c r="B36" i="7"/>
  <c r="C35" i="7"/>
  <c r="A35" i="7" s="1"/>
  <c r="P35" i="7" s="1"/>
  <c r="AC35" i="7"/>
  <c r="T34" i="7" l="1"/>
  <c r="Q32" i="8"/>
  <c r="S32" i="8"/>
  <c r="L34" i="9"/>
  <c r="T33" i="10"/>
  <c r="T33" i="9"/>
  <c r="L34" i="10"/>
  <c r="L34" i="11"/>
  <c r="R33" i="7"/>
  <c r="S33" i="7"/>
  <c r="L34" i="12"/>
  <c r="R31" i="10"/>
  <c r="S31" i="10"/>
  <c r="L35" i="7"/>
  <c r="M35" i="7" s="1"/>
  <c r="N35" i="7" s="1"/>
  <c r="L33" i="8"/>
  <c r="M33" i="8" s="1"/>
  <c r="N33" i="8" s="1"/>
  <c r="K33" i="7"/>
  <c r="Q33" i="7"/>
  <c r="Q31" i="10"/>
  <c r="M32" i="9"/>
  <c r="N32" i="9" s="1"/>
  <c r="R32" i="8"/>
  <c r="M33" i="10"/>
  <c r="O33" i="10" s="1"/>
  <c r="S33" i="10" s="1"/>
  <c r="AD34" i="11"/>
  <c r="AE34" i="11"/>
  <c r="AD34" i="10"/>
  <c r="AE34" i="10"/>
  <c r="AD34" i="8"/>
  <c r="AE34" i="8"/>
  <c r="M33" i="11"/>
  <c r="O32" i="11"/>
  <c r="S32" i="11" s="1"/>
  <c r="O32" i="12"/>
  <c r="S32" i="12" s="1"/>
  <c r="AD36" i="7"/>
  <c r="AE36" i="7"/>
  <c r="K31" i="10"/>
  <c r="AD34" i="9"/>
  <c r="AE34" i="9"/>
  <c r="AD34" i="12"/>
  <c r="AE34" i="12"/>
  <c r="N32" i="8"/>
  <c r="K32" i="8" s="1"/>
  <c r="K31" i="12"/>
  <c r="Q31" i="12"/>
  <c r="N32" i="11"/>
  <c r="M33" i="12"/>
  <c r="N33" i="12" s="1"/>
  <c r="AC34" i="9"/>
  <c r="C34" i="9"/>
  <c r="A34" i="9" s="1"/>
  <c r="P34" i="9" s="1"/>
  <c r="AB34" i="9"/>
  <c r="Z34" i="9"/>
  <c r="AA34" i="9"/>
  <c r="B35" i="9"/>
  <c r="M32" i="10"/>
  <c r="O32" i="10" s="1"/>
  <c r="S32" i="10" s="1"/>
  <c r="AA34" i="8"/>
  <c r="AB34" i="8"/>
  <c r="Z34" i="8"/>
  <c r="B35" i="8"/>
  <c r="AC34" i="8"/>
  <c r="C34" i="8"/>
  <c r="A34" i="8" s="1"/>
  <c r="P34" i="8" s="1"/>
  <c r="T34" i="8" s="1"/>
  <c r="AC34" i="12"/>
  <c r="C34" i="12"/>
  <c r="A34" i="12" s="1"/>
  <c r="P34" i="12" s="1"/>
  <c r="T34" i="12" s="1"/>
  <c r="AB34" i="12"/>
  <c r="Z34" i="12"/>
  <c r="B35" i="12"/>
  <c r="AA34" i="12"/>
  <c r="N32" i="12"/>
  <c r="N31" i="11"/>
  <c r="K31" i="11" s="1"/>
  <c r="AB34" i="10"/>
  <c r="Z34" i="10"/>
  <c r="C34" i="10"/>
  <c r="A34" i="10" s="1"/>
  <c r="P34" i="10" s="1"/>
  <c r="T34" i="10" s="1"/>
  <c r="AC34" i="10"/>
  <c r="AA34" i="10"/>
  <c r="B35" i="10"/>
  <c r="Q31" i="9"/>
  <c r="R31" i="9"/>
  <c r="K31" i="9"/>
  <c r="AC34" i="11"/>
  <c r="C34" i="11"/>
  <c r="A34" i="11" s="1"/>
  <c r="P34" i="11" s="1"/>
  <c r="T34" i="11" s="1"/>
  <c r="AB34" i="11"/>
  <c r="Z34" i="11"/>
  <c r="AA34" i="11"/>
  <c r="B35" i="11"/>
  <c r="R31" i="11"/>
  <c r="Q31" i="11"/>
  <c r="R31" i="8"/>
  <c r="K31" i="8"/>
  <c r="Q31" i="8"/>
  <c r="R34" i="7"/>
  <c r="Q34" i="7"/>
  <c r="N34" i="7"/>
  <c r="K34" i="7" s="1"/>
  <c r="AC36" i="7"/>
  <c r="C36" i="7"/>
  <c r="A36" i="7" s="1"/>
  <c r="P36" i="7" s="1"/>
  <c r="Z36" i="7"/>
  <c r="AA36" i="7"/>
  <c r="B37" i="7"/>
  <c r="AB36" i="7"/>
  <c r="T34" i="9" l="1"/>
  <c r="L36" i="7"/>
  <c r="L34" i="8"/>
  <c r="B36" i="12"/>
  <c r="L35" i="12"/>
  <c r="B36" i="9"/>
  <c r="L35" i="9"/>
  <c r="B36" i="11"/>
  <c r="L35" i="11"/>
  <c r="B36" i="10"/>
  <c r="L35" i="10"/>
  <c r="B36" i="8"/>
  <c r="O32" i="9"/>
  <c r="K32" i="12"/>
  <c r="R32" i="12"/>
  <c r="Q32" i="11"/>
  <c r="M34" i="9"/>
  <c r="O34" i="9" s="1"/>
  <c r="S34" i="9" s="1"/>
  <c r="M34" i="12"/>
  <c r="AE37" i="7"/>
  <c r="AD37" i="7"/>
  <c r="AD35" i="10"/>
  <c r="AE35" i="10"/>
  <c r="AD35" i="8"/>
  <c r="AE35" i="8"/>
  <c r="M33" i="9"/>
  <c r="N33" i="9" s="1"/>
  <c r="AE35" i="12"/>
  <c r="AD35" i="12"/>
  <c r="R32" i="11"/>
  <c r="M34" i="10"/>
  <c r="O34" i="10" s="1"/>
  <c r="S34" i="10" s="1"/>
  <c r="O33" i="11"/>
  <c r="AE35" i="11"/>
  <c r="AD35" i="11"/>
  <c r="AD35" i="9"/>
  <c r="AE35" i="9"/>
  <c r="K32" i="11"/>
  <c r="Q32" i="12"/>
  <c r="O33" i="8"/>
  <c r="O33" i="12"/>
  <c r="O35" i="7"/>
  <c r="N33" i="11"/>
  <c r="N33" i="10"/>
  <c r="K33" i="10" s="1"/>
  <c r="Q33" i="10"/>
  <c r="R33" i="10"/>
  <c r="C35" i="10"/>
  <c r="A35" i="10" s="1"/>
  <c r="P35" i="10" s="1"/>
  <c r="T35" i="10" s="1"/>
  <c r="AB35" i="10"/>
  <c r="AC35" i="10"/>
  <c r="Z35" i="10"/>
  <c r="AA35" i="10"/>
  <c r="AB35" i="12"/>
  <c r="Z35" i="12"/>
  <c r="AA35" i="12"/>
  <c r="AC35" i="12"/>
  <c r="C35" i="12"/>
  <c r="A35" i="12" s="1"/>
  <c r="P35" i="12" s="1"/>
  <c r="N32" i="10"/>
  <c r="K32" i="10" s="1"/>
  <c r="Q32" i="10"/>
  <c r="R32" i="10"/>
  <c r="AC35" i="11"/>
  <c r="AA35" i="11"/>
  <c r="C35" i="11"/>
  <c r="A35" i="11" s="1"/>
  <c r="P35" i="11" s="1"/>
  <c r="T35" i="11" s="1"/>
  <c r="AB35" i="11"/>
  <c r="Z35" i="11"/>
  <c r="C35" i="9"/>
  <c r="A35" i="9" s="1"/>
  <c r="P35" i="9" s="1"/>
  <c r="AB35" i="9"/>
  <c r="AC35" i="9"/>
  <c r="Z35" i="9"/>
  <c r="AA35" i="9"/>
  <c r="AB35" i="8"/>
  <c r="AC35" i="8"/>
  <c r="AA35" i="8"/>
  <c r="Z35" i="8"/>
  <c r="C35" i="8"/>
  <c r="A35" i="8" s="1"/>
  <c r="P35" i="8" s="1"/>
  <c r="T35" i="8" s="1"/>
  <c r="AB37" i="7"/>
  <c r="B38" i="7"/>
  <c r="AA37" i="7"/>
  <c r="C37" i="7"/>
  <c r="A37" i="7" s="1"/>
  <c r="P37" i="7" s="1"/>
  <c r="AC37" i="7"/>
  <c r="Z37" i="7"/>
  <c r="S35" i="7" l="1"/>
  <c r="T35" i="7"/>
  <c r="T35" i="12"/>
  <c r="Q33" i="12"/>
  <c r="S33" i="12"/>
  <c r="Q33" i="11"/>
  <c r="S33" i="11"/>
  <c r="K33" i="8"/>
  <c r="S33" i="8"/>
  <c r="K32" i="9"/>
  <c r="S32" i="9"/>
  <c r="T35" i="9"/>
  <c r="Q32" i="9"/>
  <c r="L35" i="8"/>
  <c r="M35" i="8" s="1"/>
  <c r="L37" i="7"/>
  <c r="M37" i="7" s="1"/>
  <c r="N37" i="7" s="1"/>
  <c r="B37" i="10"/>
  <c r="L36" i="10"/>
  <c r="M36" i="10" s="1"/>
  <c r="N36" i="10" s="1"/>
  <c r="B37" i="9"/>
  <c r="L36" i="9"/>
  <c r="M36" i="9" s="1"/>
  <c r="N36" i="9" s="1"/>
  <c r="R32" i="9"/>
  <c r="B37" i="8"/>
  <c r="L36" i="8"/>
  <c r="M36" i="8" s="1"/>
  <c r="B37" i="11"/>
  <c r="L36" i="11"/>
  <c r="B37" i="12"/>
  <c r="L36" i="12"/>
  <c r="M36" i="12" s="1"/>
  <c r="N36" i="12" s="1"/>
  <c r="K33" i="11"/>
  <c r="R33" i="11"/>
  <c r="R33" i="12"/>
  <c r="AD36" i="10"/>
  <c r="AE36" i="10"/>
  <c r="AD36" i="9"/>
  <c r="AE36" i="9"/>
  <c r="K33" i="12"/>
  <c r="R33" i="8"/>
  <c r="M36" i="11"/>
  <c r="AD36" i="11"/>
  <c r="AE36" i="11"/>
  <c r="AD36" i="12"/>
  <c r="AE36" i="12"/>
  <c r="M35" i="11"/>
  <c r="O35" i="11" s="1"/>
  <c r="S35" i="11" s="1"/>
  <c r="Q33" i="8"/>
  <c r="AD38" i="7"/>
  <c r="AE38" i="7"/>
  <c r="AD36" i="8"/>
  <c r="AE36" i="8"/>
  <c r="O33" i="9"/>
  <c r="O34" i="12"/>
  <c r="S34" i="12" s="1"/>
  <c r="N34" i="9"/>
  <c r="M35" i="12"/>
  <c r="N35" i="12" s="1"/>
  <c r="M34" i="11"/>
  <c r="O34" i="11" s="1"/>
  <c r="S34" i="11" s="1"/>
  <c r="Z36" i="8"/>
  <c r="AA36" i="8"/>
  <c r="AB36" i="8"/>
  <c r="C36" i="8"/>
  <c r="A36" i="8" s="1"/>
  <c r="P36" i="8" s="1"/>
  <c r="T36" i="8" s="1"/>
  <c r="AC36" i="8"/>
  <c r="AC36" i="11"/>
  <c r="AA36" i="11"/>
  <c r="AB36" i="11"/>
  <c r="Z36" i="11"/>
  <c r="C36" i="11"/>
  <c r="A36" i="11" s="1"/>
  <c r="P36" i="11" s="1"/>
  <c r="N34" i="10"/>
  <c r="Z36" i="10"/>
  <c r="AC36" i="10"/>
  <c r="AA36" i="10"/>
  <c r="AB36" i="10"/>
  <c r="C36" i="10"/>
  <c r="A36" i="10" s="1"/>
  <c r="P36" i="10" s="1"/>
  <c r="Z36" i="9"/>
  <c r="AB36" i="9"/>
  <c r="AA36" i="9"/>
  <c r="AC36" i="9"/>
  <c r="C36" i="9"/>
  <c r="A36" i="9" s="1"/>
  <c r="P36" i="9" s="1"/>
  <c r="M34" i="8"/>
  <c r="O34" i="8" s="1"/>
  <c r="S34" i="8" s="1"/>
  <c r="AA36" i="12"/>
  <c r="AB36" i="12"/>
  <c r="C36" i="12"/>
  <c r="A36" i="12" s="1"/>
  <c r="P36" i="12" s="1"/>
  <c r="T36" i="12" s="1"/>
  <c r="Z36" i="12"/>
  <c r="AC36" i="12"/>
  <c r="M35" i="10"/>
  <c r="O35" i="10" s="1"/>
  <c r="S35" i="10" s="1"/>
  <c r="N34" i="12"/>
  <c r="R35" i="7"/>
  <c r="Q35" i="7"/>
  <c r="K35" i="7"/>
  <c r="M36" i="7"/>
  <c r="O36" i="7" s="1"/>
  <c r="AC38" i="7"/>
  <c r="AB38" i="7"/>
  <c r="AA38" i="7"/>
  <c r="C38" i="7"/>
  <c r="E40" i="7" s="1"/>
  <c r="Z38" i="7"/>
  <c r="C40" i="7"/>
  <c r="F40" i="7"/>
  <c r="S36" i="7" l="1"/>
  <c r="T36" i="7"/>
  <c r="T36" i="9"/>
  <c r="K33" i="9"/>
  <c r="S33" i="9"/>
  <c r="T36" i="11"/>
  <c r="T36" i="10"/>
  <c r="B38" i="9"/>
  <c r="L37" i="9"/>
  <c r="B38" i="12"/>
  <c r="L37" i="12"/>
  <c r="M37" i="12" s="1"/>
  <c r="N37" i="12" s="1"/>
  <c r="B38" i="8"/>
  <c r="L37" i="8"/>
  <c r="M37" i="8" s="1"/>
  <c r="N37" i="8" s="1"/>
  <c r="L38" i="7"/>
  <c r="M38" i="7" s="1"/>
  <c r="N38" i="7" s="1"/>
  <c r="B38" i="10"/>
  <c r="L37" i="10"/>
  <c r="M37" i="10" s="1"/>
  <c r="B38" i="11"/>
  <c r="L37" i="11"/>
  <c r="M37" i="11" s="1"/>
  <c r="O36" i="9"/>
  <c r="R36" i="9" s="1"/>
  <c r="O36" i="10"/>
  <c r="R36" i="10" s="1"/>
  <c r="O36" i="11"/>
  <c r="Q36" i="11" s="1"/>
  <c r="O36" i="12"/>
  <c r="R36" i="12" s="1"/>
  <c r="N36" i="11"/>
  <c r="O36" i="8"/>
  <c r="O35" i="12"/>
  <c r="R34" i="12"/>
  <c r="M37" i="9"/>
  <c r="N37" i="9" s="1"/>
  <c r="AD37" i="9"/>
  <c r="AE37" i="9"/>
  <c r="AD37" i="8"/>
  <c r="AE37" i="8"/>
  <c r="R33" i="9"/>
  <c r="Q33" i="9"/>
  <c r="Q34" i="12"/>
  <c r="O37" i="7"/>
  <c r="K34" i="12"/>
  <c r="AE37" i="12"/>
  <c r="AD37" i="12"/>
  <c r="AD37" i="10"/>
  <c r="AE37" i="10"/>
  <c r="AE37" i="11"/>
  <c r="AD37" i="11"/>
  <c r="O35" i="8"/>
  <c r="N35" i="8"/>
  <c r="N34" i="8"/>
  <c r="K34" i="8" s="1"/>
  <c r="R35" i="11"/>
  <c r="Q35" i="11"/>
  <c r="N35" i="11"/>
  <c r="K35" i="11" s="1"/>
  <c r="Q34" i="9"/>
  <c r="R34" i="9"/>
  <c r="K34" i="9"/>
  <c r="N34" i="11"/>
  <c r="K34" i="11" s="1"/>
  <c r="Q34" i="11"/>
  <c r="R34" i="11"/>
  <c r="N35" i="10"/>
  <c r="AC37" i="11"/>
  <c r="C37" i="11"/>
  <c r="A37" i="11" s="1"/>
  <c r="P37" i="11" s="1"/>
  <c r="AB37" i="11"/>
  <c r="Z37" i="11"/>
  <c r="AA37" i="11"/>
  <c r="Q34" i="10"/>
  <c r="K34" i="10"/>
  <c r="R34" i="10"/>
  <c r="M35" i="9"/>
  <c r="O35" i="9" s="1"/>
  <c r="S35" i="9" s="1"/>
  <c r="R34" i="8"/>
  <c r="Q34" i="8"/>
  <c r="C37" i="10"/>
  <c r="A37" i="10" s="1"/>
  <c r="P37" i="10" s="1"/>
  <c r="T37" i="10" s="1"/>
  <c r="AB37" i="10"/>
  <c r="AA37" i="10"/>
  <c r="AC37" i="10"/>
  <c r="Z37" i="10"/>
  <c r="AB37" i="12"/>
  <c r="Z37" i="12"/>
  <c r="AA37" i="12"/>
  <c r="C37" i="12"/>
  <c r="A37" i="12" s="1"/>
  <c r="P37" i="12" s="1"/>
  <c r="AC37" i="12"/>
  <c r="Z37" i="9"/>
  <c r="AB37" i="9"/>
  <c r="AC37" i="9"/>
  <c r="AA37" i="9"/>
  <c r="C37" i="9"/>
  <c r="A37" i="9" s="1"/>
  <c r="P37" i="9" s="1"/>
  <c r="Z37" i="8"/>
  <c r="AA37" i="8"/>
  <c r="AC37" i="8"/>
  <c r="C37" i="8"/>
  <c r="A37" i="8" s="1"/>
  <c r="P37" i="8" s="1"/>
  <c r="AB37" i="8"/>
  <c r="K36" i="9"/>
  <c r="N36" i="8"/>
  <c r="A38" i="7"/>
  <c r="P38" i="7" s="1"/>
  <c r="R36" i="7"/>
  <c r="Q36" i="7"/>
  <c r="K40" i="7"/>
  <c r="G40" i="7"/>
  <c r="N36" i="7"/>
  <c r="K36" i="7" s="1"/>
  <c r="K36" i="10" l="1"/>
  <c r="T37" i="7"/>
  <c r="S37" i="7"/>
  <c r="S36" i="12"/>
  <c r="L38" i="8"/>
  <c r="M38" i="8" s="1"/>
  <c r="N38" i="8" s="1"/>
  <c r="N39" i="8" s="1"/>
  <c r="L38" i="9"/>
  <c r="T37" i="12"/>
  <c r="T37" i="8"/>
  <c r="L38" i="10"/>
  <c r="T37" i="9"/>
  <c r="T37" i="11"/>
  <c r="S36" i="10"/>
  <c r="Q35" i="8"/>
  <c r="S35" i="8"/>
  <c r="R35" i="12"/>
  <c r="S35" i="12"/>
  <c r="L38" i="12"/>
  <c r="S36" i="9"/>
  <c r="R36" i="8"/>
  <c r="S36" i="8"/>
  <c r="L38" i="11"/>
  <c r="M38" i="11" s="1"/>
  <c r="N38" i="11" s="1"/>
  <c r="S36" i="11"/>
  <c r="Q36" i="9"/>
  <c r="R36" i="11"/>
  <c r="K36" i="11"/>
  <c r="Q36" i="10"/>
  <c r="Q36" i="12"/>
  <c r="O37" i="9"/>
  <c r="R37" i="9" s="1"/>
  <c r="K36" i="12"/>
  <c r="Q36" i="8"/>
  <c r="O37" i="10"/>
  <c r="S37" i="10" s="1"/>
  <c r="O37" i="11"/>
  <c r="R37" i="11" s="1"/>
  <c r="O37" i="12"/>
  <c r="S37" i="12" s="1"/>
  <c r="N37" i="11"/>
  <c r="O37" i="8"/>
  <c r="R37" i="8" s="1"/>
  <c r="K35" i="8"/>
  <c r="R35" i="8"/>
  <c r="C40" i="12"/>
  <c r="G40" i="12" s="1"/>
  <c r="AD38" i="12"/>
  <c r="AE38" i="12"/>
  <c r="AD38" i="10"/>
  <c r="AE38" i="10"/>
  <c r="M38" i="9"/>
  <c r="AD38" i="9"/>
  <c r="AE38" i="9"/>
  <c r="AD38" i="11"/>
  <c r="AE38" i="11"/>
  <c r="AD38" i="8"/>
  <c r="AE38" i="8"/>
  <c r="O38" i="7"/>
  <c r="O39" i="7" s="1"/>
  <c r="Q35" i="12"/>
  <c r="K35" i="12"/>
  <c r="N35" i="9"/>
  <c r="K35" i="9" s="1"/>
  <c r="AB38" i="9"/>
  <c r="AA38" i="9"/>
  <c r="Z38" i="9"/>
  <c r="C40" i="9"/>
  <c r="AC38" i="9"/>
  <c r="C38" i="9"/>
  <c r="E40" i="9" s="1"/>
  <c r="C38" i="12"/>
  <c r="E40" i="12" s="1"/>
  <c r="AC38" i="12"/>
  <c r="Z38" i="12"/>
  <c r="AB38" i="12"/>
  <c r="AA38" i="12"/>
  <c r="AC38" i="10"/>
  <c r="C38" i="10"/>
  <c r="E40" i="10" s="1"/>
  <c r="AB38" i="10"/>
  <c r="C40" i="10"/>
  <c r="AA38" i="10"/>
  <c r="Z38" i="10"/>
  <c r="AB38" i="8"/>
  <c r="C40" i="8"/>
  <c r="Z38" i="8"/>
  <c r="AC38" i="8"/>
  <c r="C38" i="8"/>
  <c r="E40" i="8" s="1"/>
  <c r="AA38" i="8"/>
  <c r="R35" i="9"/>
  <c r="Q35" i="9"/>
  <c r="AA38" i="11"/>
  <c r="C40" i="11"/>
  <c r="AC38" i="11"/>
  <c r="C38" i="11"/>
  <c r="E40" i="11" s="1"/>
  <c r="Z38" i="11"/>
  <c r="AB38" i="11"/>
  <c r="R35" i="10"/>
  <c r="Q35" i="10"/>
  <c r="K35" i="10"/>
  <c r="Q37" i="7"/>
  <c r="N37" i="10"/>
  <c r="K36" i="8"/>
  <c r="R37" i="7"/>
  <c r="H40" i="7"/>
  <c r="L40" i="7" s="1"/>
  <c r="N39" i="7"/>
  <c r="K37" i="7"/>
  <c r="F40" i="10"/>
  <c r="F40" i="12"/>
  <c r="F40" i="9"/>
  <c r="F40" i="11"/>
  <c r="F40" i="8"/>
  <c r="T38" i="7" l="1"/>
  <c r="T39" i="7" s="1"/>
  <c r="T40" i="7" s="1"/>
  <c r="K37" i="9"/>
  <c r="S38" i="7"/>
  <c r="S39" i="7" s="1"/>
  <c r="X29" i="7" s="1"/>
  <c r="S37" i="11"/>
  <c r="S37" i="8"/>
  <c r="S37" i="9"/>
  <c r="M38" i="12"/>
  <c r="N38" i="12" s="1"/>
  <c r="N39" i="12" s="1"/>
  <c r="N40" i="12" s="1"/>
  <c r="N42" i="12" s="1"/>
  <c r="Q37" i="11"/>
  <c r="Q37" i="9"/>
  <c r="R37" i="10"/>
  <c r="Q37" i="12"/>
  <c r="N39" i="11"/>
  <c r="X25" i="11" s="1"/>
  <c r="R37" i="12"/>
  <c r="K37" i="12"/>
  <c r="Q37" i="10"/>
  <c r="K37" i="11"/>
  <c r="Q37" i="8"/>
  <c r="A38" i="12"/>
  <c r="P38" i="12" s="1"/>
  <c r="O38" i="11"/>
  <c r="O39" i="11" s="1"/>
  <c r="O40" i="11" s="1"/>
  <c r="A38" i="11"/>
  <c r="P38" i="11" s="1"/>
  <c r="A38" i="10"/>
  <c r="P38" i="10" s="1"/>
  <c r="M38" i="10"/>
  <c r="O38" i="10" s="1"/>
  <c r="N38" i="9"/>
  <c r="N39" i="9" s="1"/>
  <c r="O38" i="9"/>
  <c r="O39" i="9" s="1"/>
  <c r="A38" i="9"/>
  <c r="P38" i="9" s="1"/>
  <c r="O38" i="8"/>
  <c r="K38" i="8" s="1"/>
  <c r="K37" i="8"/>
  <c r="A38" i="8"/>
  <c r="P38" i="8" s="1"/>
  <c r="K40" i="12"/>
  <c r="H40" i="12" s="1"/>
  <c r="L40" i="12" s="1"/>
  <c r="K40" i="8"/>
  <c r="K40" i="10"/>
  <c r="K40" i="9"/>
  <c r="K40" i="11"/>
  <c r="G40" i="8"/>
  <c r="G40" i="10"/>
  <c r="G40" i="9"/>
  <c r="G40" i="11"/>
  <c r="K38" i="7"/>
  <c r="R38" i="7"/>
  <c r="R39" i="7" s="1"/>
  <c r="X28" i="7" s="1"/>
  <c r="Q38" i="7"/>
  <c r="Q39" i="7" s="1"/>
  <c r="Q40" i="7" s="1"/>
  <c r="N40" i="8"/>
  <c r="N42" i="8" s="1"/>
  <c r="X25" i="8"/>
  <c r="N40" i="7"/>
  <c r="X25" i="7"/>
  <c r="K37" i="10"/>
  <c r="O40" i="7"/>
  <c r="X26" i="7"/>
  <c r="O38" i="12" l="1"/>
  <c r="O39" i="12" s="1"/>
  <c r="O40" i="12" s="1"/>
  <c r="X25" i="12"/>
  <c r="T38" i="9"/>
  <c r="T39" i="9" s="1"/>
  <c r="T40" i="9" s="1"/>
  <c r="T42" i="9" s="1"/>
  <c r="S38" i="9"/>
  <c r="T38" i="11"/>
  <c r="T39" i="11" s="1"/>
  <c r="S38" i="11"/>
  <c r="T38" i="12"/>
  <c r="T39" i="12" s="1"/>
  <c r="N40" i="11"/>
  <c r="N42" i="11" s="1"/>
  <c r="T38" i="10"/>
  <c r="T39" i="10" s="1"/>
  <c r="T40" i="10" s="1"/>
  <c r="T42" i="10" s="1"/>
  <c r="S38" i="10"/>
  <c r="S38" i="8"/>
  <c r="T38" i="8"/>
  <c r="T39" i="8" s="1"/>
  <c r="O39" i="8"/>
  <c r="O40" i="8" s="1"/>
  <c r="X26" i="9"/>
  <c r="O40" i="9"/>
  <c r="X26" i="11"/>
  <c r="Q38" i="11"/>
  <c r="Q39" i="11" s="1"/>
  <c r="K38" i="11"/>
  <c r="R38" i="11"/>
  <c r="O39" i="10"/>
  <c r="R38" i="10"/>
  <c r="Q38" i="10"/>
  <c r="Q39" i="10" s="1"/>
  <c r="X27" i="10" s="1"/>
  <c r="N38" i="10"/>
  <c r="N39" i="10" s="1"/>
  <c r="Q38" i="9"/>
  <c r="Q39" i="9" s="1"/>
  <c r="K38" i="9"/>
  <c r="R38" i="9"/>
  <c r="R38" i="8"/>
  <c r="Q38" i="8"/>
  <c r="Q39" i="8" s="1"/>
  <c r="X27" i="8" s="1"/>
  <c r="N40" i="9"/>
  <c r="N42" i="9" s="1"/>
  <c r="X25" i="9"/>
  <c r="X27" i="7"/>
  <c r="N41" i="7"/>
  <c r="N41" i="12"/>
  <c r="H40" i="11"/>
  <c r="L40" i="11" s="1"/>
  <c r="H40" i="9"/>
  <c r="H40" i="10"/>
  <c r="L40" i="10" s="1"/>
  <c r="H40" i="8"/>
  <c r="L40" i="8" s="1"/>
  <c r="X30" i="7"/>
  <c r="W32" i="7"/>
  <c r="R40" i="7"/>
  <c r="S40" i="7"/>
  <c r="X32" i="7"/>
  <c r="Q38" i="12" l="1"/>
  <c r="Q39" i="12" s="1"/>
  <c r="X27" i="12" s="1"/>
  <c r="X26" i="12"/>
  <c r="K38" i="12"/>
  <c r="S38" i="12"/>
  <c r="R38" i="12"/>
  <c r="X26" i="8"/>
  <c r="X30" i="8"/>
  <c r="T40" i="8"/>
  <c r="T42" i="8" s="1"/>
  <c r="X30" i="10"/>
  <c r="T40" i="12"/>
  <c r="T42" i="12" s="1"/>
  <c r="X30" i="12"/>
  <c r="T40" i="11"/>
  <c r="T42" i="11" s="1"/>
  <c r="X30" i="11"/>
  <c r="Q40" i="11"/>
  <c r="X27" i="11"/>
  <c r="N40" i="10"/>
  <c r="N42" i="10" s="1"/>
  <c r="X25" i="10"/>
  <c r="K38" i="10"/>
  <c r="Q40" i="10"/>
  <c r="X26" i="10"/>
  <c r="O40" i="10"/>
  <c r="X30" i="9"/>
  <c r="X27" i="9"/>
  <c r="Q40" i="9"/>
  <c r="Q40" i="8"/>
  <c r="N41" i="8"/>
  <c r="N41" i="11"/>
  <c r="L40" i="9"/>
  <c r="N41" i="9"/>
  <c r="R7" i="8"/>
  <c r="R39" i="8" s="1"/>
  <c r="S7" i="8"/>
  <c r="S39" i="8" s="1"/>
  <c r="Q40" i="12" l="1"/>
  <c r="N41" i="10"/>
  <c r="S40" i="8"/>
  <c r="S42" i="8" s="1"/>
  <c r="X29" i="8"/>
  <c r="X28" i="8"/>
  <c r="R40" i="8"/>
  <c r="W32" i="8" l="1"/>
  <c r="X32" i="8"/>
  <c r="R7" i="9" l="1"/>
  <c r="R39" i="9" s="1"/>
  <c r="S7" i="9"/>
  <c r="S39" i="9" s="1"/>
  <c r="S40" i="9" l="1"/>
  <c r="S42" i="9" s="1"/>
  <c r="X29" i="9"/>
  <c r="R40" i="9"/>
  <c r="X28" i="9"/>
  <c r="X32" i="9" l="1"/>
  <c r="W32" i="9"/>
  <c r="R7" i="10" l="1"/>
  <c r="R39" i="10" s="1"/>
  <c r="S7" i="10"/>
  <c r="S39" i="10" s="1"/>
  <c r="X29" i="10" l="1"/>
  <c r="S40" i="10"/>
  <c r="S42" i="10" s="1"/>
  <c r="R40" i="10"/>
  <c r="X28" i="10"/>
  <c r="X32" i="10" l="1"/>
  <c r="W32" i="10"/>
  <c r="R7" i="11" l="1"/>
  <c r="R39" i="11" s="1"/>
  <c r="S7" i="11"/>
  <c r="S39" i="11" s="1"/>
  <c r="X29" i="11" l="1"/>
  <c r="S40" i="11"/>
  <c r="S42" i="11" s="1"/>
  <c r="R40" i="11"/>
  <c r="X28" i="11"/>
  <c r="W32" i="11" l="1"/>
  <c r="X32" i="11"/>
  <c r="R7" i="12" l="1"/>
  <c r="R39" i="12" s="1"/>
  <c r="S7" i="12"/>
  <c r="S39" i="12" s="1"/>
  <c r="X29" i="12" l="1"/>
  <c r="S40" i="12"/>
  <c r="S42" i="12" s="1"/>
  <c r="R40" i="12"/>
  <c r="X28" i="12"/>
  <c r="W32" i="12" l="1"/>
  <c r="X32" i="12"/>
  <c r="H41" i="7" l="1"/>
  <c r="S42" i="7" l="1"/>
  <c r="L41" i="7"/>
  <c r="T42" i="7"/>
  <c r="N4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Gilberto</author>
  </authors>
  <commentList>
    <comment ref="X21" authorId="0" shapeId="0" xr:uid="{00000000-0006-0000-0000-000001000000}">
      <text>
        <r>
          <rPr>
            <b/>
            <u/>
            <sz val="9"/>
            <color indexed="81"/>
            <rFont val="Segoe UI"/>
            <family val="2"/>
          </rPr>
          <t>ATENÇÃO!!!</t>
        </r>
        <r>
          <rPr>
            <sz val="9"/>
            <color indexed="81"/>
            <rFont val="Segoe UI"/>
            <family val="2"/>
          </rPr>
          <t xml:space="preserve">
Para fechamento do ponto do dia 01 ao último dia do mês, deixe essa célula em branco. Se desejar apurar as horas extras, por exemplo,  do dia 26 de um mês ao dia 25 do mês seguinte, digite 25 nessa célula. As datas na coluna B serão ajustadas automaticamente de acordo com o período de fechamento do ponto escolhido.
</t>
        </r>
      </text>
    </comment>
    <comment ref="X22" authorId="0" shapeId="0" xr:uid="{00000000-0006-0000-0000-000002000000}">
      <text>
        <r>
          <rPr>
            <b/>
            <sz val="9"/>
            <color indexed="81"/>
            <rFont val="Segoe UI"/>
            <family val="2"/>
          </rPr>
          <t>Gilberto:</t>
        </r>
        <r>
          <rPr>
            <sz val="9"/>
            <color indexed="81"/>
            <rFont val="Segoe UI"/>
            <family val="2"/>
          </rPr>
          <t xml:space="preserve">
Selecionar o ano</t>
        </r>
      </text>
    </comment>
    <comment ref="X23" authorId="0" shapeId="0" xr:uid="{00000000-0006-0000-0000-000003000000}">
      <text>
        <r>
          <rPr>
            <b/>
            <sz val="9"/>
            <color indexed="81"/>
            <rFont val="Segoe UI"/>
            <family val="2"/>
          </rPr>
          <t>Gilberto:</t>
        </r>
        <r>
          <rPr>
            <sz val="9"/>
            <color indexed="81"/>
            <rFont val="Segoe UI"/>
            <family val="2"/>
          </rPr>
          <t xml:space="preserve">
Selecionar o mês.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Gilberto</author>
  </authors>
  <commentList>
    <comment ref="X21" authorId="0" shapeId="0" xr:uid="{00000000-0006-0000-0100-000001000000}">
      <text>
        <r>
          <rPr>
            <b/>
            <u/>
            <sz val="9"/>
            <color indexed="81"/>
            <rFont val="Segoe UI"/>
            <family val="2"/>
          </rPr>
          <t>ATENÇÃO!!!</t>
        </r>
        <r>
          <rPr>
            <sz val="9"/>
            <color indexed="81"/>
            <rFont val="Segoe UI"/>
            <family val="2"/>
          </rPr>
          <t xml:space="preserve">
Para fechamento do ponto do dia 01 ao último dia do mês, deixe essa célula em branco. Se desejar apurar as horas extras, por exemplo,  do dia 26 de um mês ao dia 25 do mês seguinte, digite 25 nessa célula. As datas na coluna B serão ajustadas automaticamente de acordo com o período de fechamento do ponto escolhido.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Gilberto</author>
  </authors>
  <commentList>
    <comment ref="X21" authorId="0" shapeId="0" xr:uid="{00000000-0006-0000-0200-000001000000}">
      <text>
        <r>
          <rPr>
            <b/>
            <u/>
            <sz val="9"/>
            <color indexed="81"/>
            <rFont val="Segoe UI"/>
            <family val="2"/>
          </rPr>
          <t>ATENÇÃO!!!</t>
        </r>
        <r>
          <rPr>
            <sz val="9"/>
            <color indexed="81"/>
            <rFont val="Segoe UI"/>
            <family val="2"/>
          </rPr>
          <t xml:space="preserve">
Para fechamento do ponto do dia 01 ao último dia do mês, deixe essa célula em branco. Se desejar apurar as horas extras, por exemplo,  do dia 26 de um mês ao dia 25 do mês seguinte, digite 25 nessa célula. As datas na coluna B serão ajustadas automaticamente de acordo com o período de fechamento do ponto escolhido.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Gilberto</author>
  </authors>
  <commentList>
    <comment ref="X21" authorId="0" shapeId="0" xr:uid="{00000000-0006-0000-0300-000001000000}">
      <text>
        <r>
          <rPr>
            <b/>
            <u/>
            <sz val="9"/>
            <color indexed="81"/>
            <rFont val="Segoe UI"/>
            <family val="2"/>
          </rPr>
          <t>ATENÇÃO!!!</t>
        </r>
        <r>
          <rPr>
            <sz val="9"/>
            <color indexed="81"/>
            <rFont val="Segoe UI"/>
            <family val="2"/>
          </rPr>
          <t xml:space="preserve">
Para fechamento do ponto do dia 01 ao último dia do mês, deixe essa célula em branco. Se desejar apurar as horas extras, por exemplo,  do dia 26 de um mês ao dia 25 do mês seguinte, digite 25 nessa célula. As datas na coluna B serão ajustadas automaticamente de acordo com o período de fechamento do ponto escolhido.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Gilberto</author>
  </authors>
  <commentList>
    <comment ref="X21" authorId="0" shapeId="0" xr:uid="{00000000-0006-0000-0400-000001000000}">
      <text>
        <r>
          <rPr>
            <b/>
            <u/>
            <sz val="9"/>
            <color indexed="81"/>
            <rFont val="Segoe UI"/>
            <family val="2"/>
          </rPr>
          <t>ATENÇÃO!!!</t>
        </r>
        <r>
          <rPr>
            <sz val="9"/>
            <color indexed="81"/>
            <rFont val="Segoe UI"/>
            <family val="2"/>
          </rPr>
          <t xml:space="preserve">
Para fechamento do ponto do dia 01 ao último dia do mês, deixe essa célula em branco. Se desejar apurar as horas extras, por exemplo,  do dia 26 de um mês ao dia 25 do mês seguinte, digite 25 nessa célula. As datas na coluna B serão ajustadas automaticamente de acordo com o período de fechamento do ponto escolhido.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Gilberto</author>
  </authors>
  <commentList>
    <comment ref="X21" authorId="0" shapeId="0" xr:uid="{00000000-0006-0000-0500-000001000000}">
      <text>
        <r>
          <rPr>
            <b/>
            <u/>
            <sz val="9"/>
            <color indexed="81"/>
            <rFont val="Segoe UI"/>
            <family val="2"/>
          </rPr>
          <t>ATENÇÃO!!!</t>
        </r>
        <r>
          <rPr>
            <sz val="9"/>
            <color indexed="81"/>
            <rFont val="Segoe UI"/>
            <family val="2"/>
          </rPr>
          <t xml:space="preserve">
Para fechamento do ponto do dia 01 ao último dia do mês, deixe essa célula em branco. Se desejar apurar as horas extras, por exemplo,  do dia 26 de um mês ao dia 25 do mês seguinte, digite 25 nessa célula. As datas na coluna B serão ajustadas automaticamente de acordo com o período de fechamento do ponto escolhido.
</t>
        </r>
      </text>
    </comment>
  </commentList>
</comments>
</file>

<file path=xl/sharedStrings.xml><?xml version="1.0" encoding="utf-8"?>
<sst xmlns="http://schemas.openxmlformats.org/spreadsheetml/2006/main" count="460" uniqueCount="90">
  <si>
    <t>CARTÃO PONTO ESPELHO</t>
  </si>
  <si>
    <t xml:space="preserve">Data </t>
  </si>
  <si>
    <t>Dia Semana</t>
  </si>
  <si>
    <t>Folgas</t>
  </si>
  <si>
    <t>Entrada</t>
  </si>
  <si>
    <t>Saída</t>
  </si>
  <si>
    <t>Horas Diurnas</t>
  </si>
  <si>
    <t>H. Not. s/ red.</t>
  </si>
  <si>
    <t>Hora Ficta</t>
  </si>
  <si>
    <t>H. Trab.</t>
  </si>
  <si>
    <t>H. Normais</t>
  </si>
  <si>
    <t>H. Extras</t>
  </si>
  <si>
    <t>HE 100%</t>
  </si>
  <si>
    <t>JORNADA CONTRATUAL</t>
  </si>
  <si>
    <t>F</t>
  </si>
  <si>
    <t>domingo</t>
  </si>
  <si>
    <t>Segunda-feira</t>
  </si>
  <si>
    <t>Terça-feira</t>
  </si>
  <si>
    <t>Quarta-feira</t>
  </si>
  <si>
    <t>Quinta-feira</t>
  </si>
  <si>
    <t>Sexta-feira</t>
  </si>
  <si>
    <t>Sábado</t>
  </si>
  <si>
    <t>Feriados</t>
  </si>
  <si>
    <t>HORÁRIO NOTURNO</t>
  </si>
  <si>
    <t>Início</t>
  </si>
  <si>
    <t>Término</t>
  </si>
  <si>
    <t>FECHAMENTO DO PONTO</t>
  </si>
  <si>
    <t>Dia do fechamento do ponto:</t>
  </si>
  <si>
    <t>Selecione o ano :</t>
  </si>
  <si>
    <t>Selecione o mês :</t>
  </si>
  <si>
    <t>fer</t>
  </si>
  <si>
    <t>dom</t>
  </si>
  <si>
    <t>mês</t>
  </si>
  <si>
    <t>dias úteis</t>
  </si>
  <si>
    <t>repousos</t>
  </si>
  <si>
    <t>dsr</t>
  </si>
  <si>
    <t>Total:</t>
  </si>
  <si>
    <t>Decimal:</t>
  </si>
  <si>
    <t>Dsr:</t>
  </si>
  <si>
    <t>Data de início:</t>
  </si>
  <si>
    <t>Data final:</t>
  </si>
  <si>
    <t>Meses</t>
  </si>
  <si>
    <t>Anos</t>
  </si>
  <si>
    <t>Ano</t>
  </si>
  <si>
    <t>Páscoa</t>
  </si>
  <si>
    <t>Horário Noturno</t>
  </si>
  <si>
    <t>Início:</t>
  </si>
  <si>
    <t>Fim:</t>
  </si>
  <si>
    <t>Feriados Nacionais, Municipais e Estadual</t>
  </si>
  <si>
    <t>Feriados Nacionais</t>
  </si>
  <si>
    <t>x</t>
  </si>
  <si>
    <t>Ano Novo</t>
  </si>
  <si>
    <t>Tiradentes</t>
  </si>
  <si>
    <t>Dia do Trabalho</t>
  </si>
  <si>
    <t>Independência</t>
  </si>
  <si>
    <t>Padroeira do Brasil</t>
  </si>
  <si>
    <t>Finados</t>
  </si>
  <si>
    <t>Proclamação da República</t>
  </si>
  <si>
    <t>Natal</t>
  </si>
  <si>
    <t>Móveis</t>
  </si>
  <si>
    <t>Sexta-Feira Santa</t>
  </si>
  <si>
    <t>Corpus Christi</t>
  </si>
  <si>
    <t>Terça-Feira de Carnaval</t>
  </si>
  <si>
    <t>DIA</t>
  </si>
  <si>
    <t>MÊS</t>
  </si>
  <si>
    <t>Fixos</t>
  </si>
  <si>
    <t>Feriado 1</t>
  </si>
  <si>
    <t>Feriado 2</t>
  </si>
  <si>
    <t>Feriado 3</t>
  </si>
  <si>
    <t>Feriado 4</t>
  </si>
  <si>
    <t>Compen-sadas</t>
  </si>
  <si>
    <t>Ausências In-justificadas</t>
  </si>
  <si>
    <t>A</t>
  </si>
  <si>
    <t>Saldo anterior</t>
  </si>
  <si>
    <t>Horas Trabalhadas:</t>
  </si>
  <si>
    <t>Ausências Injustificadas:</t>
  </si>
  <si>
    <t>Horas Compensadas:</t>
  </si>
  <si>
    <t>Horas Extras:</t>
  </si>
  <si>
    <t>Folgas Trabalhadas:</t>
  </si>
  <si>
    <t>Adicional Noturno:</t>
  </si>
  <si>
    <t>Empregado :</t>
  </si>
  <si>
    <t>Alexandre José de Souza Silva</t>
  </si>
  <si>
    <t>Dia da Semana</t>
  </si>
  <si>
    <t>Jornada</t>
  </si>
  <si>
    <t>Adicional Noturno</t>
  </si>
  <si>
    <t>Setor :</t>
  </si>
  <si>
    <t>Unidade  :</t>
  </si>
  <si>
    <t>=SE(B8="";"";SE(E(DIA.DA.SEMANA(B8;1)=7;P8=0;D8&lt;&gt;"F");MÁXIMO(0;O8-P8);SE(P8=0;0;MÁXIMO(0;O8-P8))))</t>
  </si>
  <si>
    <t>=SE(B8="";"";SE(E(DIA.DA.SEMANA(B8;1)=7;P8=0;D8&lt;&gt;"F");0;SE(P8=0;O8;0)))</t>
  </si>
  <si>
    <t>Zumbi e Consciência Negra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</si>
</sst>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dd"/>
    <numFmt numFmtId="165" formatCode="[hh]:mm"/>
    <numFmt numFmtId="166" formatCode="00&quot;:&quot;00"/>
    <numFmt numFmtId="167" formatCode="mmmm"/>
  </numFmts>
  <fonts count="32" x14ac:knownFonts="1">
    <font>
      <sz val="10"/>
      <name val="Arial"/>
    </font>
    <font>
      <sz val="11"/>
      <color theme="1"/>
      <name val="Calibri"/>
      <family val="2"/>
      <scheme val="minor"/>
    </font>
    <font>
      <sz val="11"/>
      <color theme="1"/>
      <name val="Calibri"/>
      <family val="2"/>
      <scheme val="minor"/>
    </font>
    <font>
      <b/>
      <sz val="10"/>
      <name val="Arial"/>
      <family val="2"/>
    </font>
    <font>
      <sz val="8"/>
      <name val="Arial"/>
      <family val="2"/>
    </font>
    <font>
      <b/>
      <sz val="14"/>
      <name val="Calibri"/>
      <family val="2"/>
    </font>
    <font>
      <sz val="10"/>
      <name val="Arial"/>
      <family val="2"/>
    </font>
    <font>
      <sz val="10"/>
      <color indexed="10"/>
      <name val="Arial"/>
      <family val="2"/>
    </font>
    <font>
      <sz val="8"/>
      <name val="Arial"/>
      <family val="2"/>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sz val="10"/>
      <color theme="0"/>
      <name val="Arial"/>
      <family val="2"/>
    </font>
    <font>
      <sz val="10"/>
      <name val="Calibri"/>
      <family val="2"/>
    </font>
    <font>
      <sz val="10"/>
      <name val="Calibri"/>
      <family val="2"/>
      <scheme val="minor"/>
    </font>
    <font>
      <b/>
      <sz val="11"/>
      <color theme="0"/>
      <name val="Calibri"/>
      <family val="2"/>
      <scheme val="minor"/>
    </font>
    <font>
      <b/>
      <sz val="10"/>
      <name val="Calibri"/>
      <family val="2"/>
      <scheme val="minor"/>
    </font>
    <font>
      <b/>
      <i/>
      <u/>
      <sz val="14"/>
      <name val="Calibri"/>
      <family val="2"/>
      <scheme val="minor"/>
    </font>
    <font>
      <b/>
      <sz val="11"/>
      <color rgb="FFFF0000"/>
      <name val="Calibri"/>
      <family val="2"/>
      <scheme val="minor"/>
    </font>
    <font>
      <b/>
      <sz val="10"/>
      <color rgb="FFFF0000"/>
      <name val="Arial"/>
      <family val="2"/>
    </font>
    <font>
      <b/>
      <sz val="10"/>
      <name val="Calibri"/>
      <family val="2"/>
    </font>
    <font>
      <b/>
      <sz val="12"/>
      <name val="Calibri"/>
      <family val="2"/>
      <scheme val="minor"/>
    </font>
    <font>
      <sz val="9"/>
      <color indexed="81"/>
      <name val="Segoe UI"/>
      <family val="2"/>
    </font>
    <font>
      <b/>
      <sz val="9"/>
      <color indexed="81"/>
      <name val="Segoe UI"/>
      <family val="2"/>
    </font>
    <font>
      <b/>
      <sz val="12"/>
      <color theme="1"/>
      <name val="Calibri"/>
      <family val="2"/>
      <scheme val="minor"/>
    </font>
    <font>
      <b/>
      <u/>
      <sz val="10"/>
      <name val="Calibri"/>
      <family val="2"/>
      <scheme val="minor"/>
    </font>
    <font>
      <b/>
      <u/>
      <sz val="9"/>
      <color indexed="81"/>
      <name val="Segoe UI"/>
      <family val="2"/>
    </font>
    <font>
      <sz val="9"/>
      <color rgb="FFFF0000"/>
      <name val="Calibri"/>
      <family val="2"/>
      <scheme val="minor"/>
    </font>
    <font>
      <b/>
      <sz val="10"/>
      <color rgb="FF000000"/>
      <name val="Calibri"/>
      <family val="2"/>
    </font>
    <font>
      <b/>
      <sz val="10"/>
      <color rgb="FFC00000"/>
      <name val="Arial"/>
      <family val="2"/>
    </font>
    <font>
      <b/>
      <sz val="12"/>
      <color rgb="FFFF0000"/>
      <name val="Calibri"/>
      <family val="2"/>
    </font>
  </fonts>
  <fills count="1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8"/>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patternFill>
    </fill>
    <fill>
      <patternFill patternType="solid">
        <fgColor theme="0" tint="-0.249977111117893"/>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6">
    <xf numFmtId="0" fontId="0" fillId="0" borderId="0"/>
    <xf numFmtId="0" fontId="10"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10" fillId="7" borderId="0" applyNumberFormat="0" applyBorder="0" applyAlignment="0" applyProtection="0"/>
    <xf numFmtId="0" fontId="10" fillId="14" borderId="0" applyNumberFormat="0" applyBorder="0" applyAlignment="0" applyProtection="0"/>
  </cellStyleXfs>
  <cellXfs count="236">
    <xf numFmtId="0" fontId="0" fillId="0" borderId="0" xfId="0"/>
    <xf numFmtId="0" fontId="5" fillId="0" borderId="0" xfId="0" quotePrefix="1" applyFont="1" applyAlignment="1">
      <alignment vertical="center"/>
    </xf>
    <xf numFmtId="0" fontId="0" fillId="2" borderId="0" xfId="0" applyFill="1"/>
    <xf numFmtId="0" fontId="6" fillId="2" borderId="0" xfId="0" applyFont="1" applyFill="1"/>
    <xf numFmtId="0" fontId="7" fillId="0" borderId="0" xfId="0" quotePrefix="1" applyFont="1"/>
    <xf numFmtId="0" fontId="0" fillId="0" borderId="0" xfId="0" applyAlignment="1">
      <alignment horizontal="left" indent="1"/>
    </xf>
    <xf numFmtId="0" fontId="0" fillId="0" borderId="0" xfId="0" applyAlignment="1">
      <alignment horizontal="center"/>
    </xf>
    <xf numFmtId="0" fontId="6" fillId="0" borderId="0" xfId="0" applyFont="1" applyAlignment="1">
      <alignment horizontal="left" indent="1"/>
    </xf>
    <xf numFmtId="0" fontId="0" fillId="0" borderId="17" xfId="0" applyBorder="1" applyAlignment="1">
      <alignment horizontal="center"/>
    </xf>
    <xf numFmtId="0" fontId="2" fillId="5" borderId="2" xfId="2" applyBorder="1" applyAlignment="1">
      <alignment horizontal="left" indent="1"/>
    </xf>
    <xf numFmtId="0" fontId="2" fillId="6" borderId="1" xfId="3" applyBorder="1" applyAlignment="1">
      <alignment horizontal="left" indent="1"/>
    </xf>
    <xf numFmtId="0" fontId="2" fillId="6" borderId="2" xfId="3" applyBorder="1" applyAlignment="1">
      <alignment horizontal="left" indent="1"/>
    </xf>
    <xf numFmtId="0" fontId="12" fillId="7" borderId="1" xfId="4" applyFont="1" applyBorder="1" applyAlignment="1">
      <alignment horizontal="left" indent="1"/>
    </xf>
    <xf numFmtId="0" fontId="12" fillId="7" borderId="2" xfId="4" applyFont="1" applyBorder="1" applyAlignment="1">
      <alignment horizontal="left" indent="1"/>
    </xf>
    <xf numFmtId="14" fontId="12" fillId="7" borderId="2" xfId="4" applyNumberFormat="1" applyFont="1" applyBorder="1"/>
    <xf numFmtId="0" fontId="12" fillId="7" borderId="1" xfId="4" applyFont="1" applyBorder="1" applyAlignment="1">
      <alignment horizontal="center"/>
    </xf>
    <xf numFmtId="0" fontId="12" fillId="7" borderId="2" xfId="4" applyFont="1" applyBorder="1" applyAlignment="1">
      <alignment horizontal="center"/>
    </xf>
    <xf numFmtId="0" fontId="2" fillId="5" borderId="2" xfId="2" applyBorder="1" applyAlignment="1">
      <alignment horizontal="center"/>
    </xf>
    <xf numFmtId="0" fontId="2" fillId="6" borderId="2" xfId="3" applyBorder="1" applyAlignment="1">
      <alignment horizontal="center" vertical="center"/>
    </xf>
    <xf numFmtId="0" fontId="12" fillId="7" borderId="4" xfId="4" applyFont="1" applyBorder="1" applyAlignment="1">
      <alignment horizontal="center"/>
    </xf>
    <xf numFmtId="0" fontId="12" fillId="7" borderId="4" xfId="4" applyFont="1" applyBorder="1" applyAlignment="1">
      <alignment horizontal="left" indent="1"/>
    </xf>
    <xf numFmtId="14" fontId="12" fillId="7" borderId="4" xfId="4" applyNumberFormat="1" applyFont="1" applyBorder="1"/>
    <xf numFmtId="0" fontId="2" fillId="6" borderId="1" xfId="3" applyBorder="1" applyAlignment="1">
      <alignment horizontal="center"/>
    </xf>
    <xf numFmtId="0" fontId="2" fillId="6" borderId="4" xfId="3" applyBorder="1" applyAlignment="1">
      <alignment horizontal="center"/>
    </xf>
    <xf numFmtId="0" fontId="2" fillId="6" borderId="4" xfId="3" applyBorder="1" applyAlignment="1">
      <alignment horizontal="left" indent="1"/>
    </xf>
    <xf numFmtId="0" fontId="2" fillId="5" borderId="12" xfId="2" applyBorder="1" applyAlignment="1">
      <alignment horizontal="center"/>
    </xf>
    <xf numFmtId="0" fontId="2" fillId="5" borderId="12" xfId="2" applyBorder="1" applyAlignment="1">
      <alignment horizontal="left" indent="1"/>
    </xf>
    <xf numFmtId="0" fontId="2" fillId="5" borderId="8" xfId="2" applyBorder="1" applyAlignment="1">
      <alignment horizontal="center"/>
    </xf>
    <xf numFmtId="0" fontId="2" fillId="5" borderId="9" xfId="2" applyBorder="1" applyAlignment="1">
      <alignment horizontal="center"/>
    </xf>
    <xf numFmtId="0" fontId="2" fillId="5" borderId="4" xfId="2" applyBorder="1" applyAlignment="1">
      <alignment horizontal="left" indent="1"/>
    </xf>
    <xf numFmtId="0" fontId="2" fillId="5" borderId="10" xfId="2" applyBorder="1" applyAlignment="1">
      <alignment horizontal="center"/>
    </xf>
    <xf numFmtId="0" fontId="12" fillId="7" borderId="3" xfId="4" applyFont="1" applyBorder="1" applyAlignment="1">
      <alignment horizontal="center" vertical="center"/>
    </xf>
    <xf numFmtId="0" fontId="9" fillId="5" borderId="16" xfId="2" applyFont="1" applyBorder="1" applyAlignment="1">
      <alignment horizontal="centerContinuous"/>
    </xf>
    <xf numFmtId="0" fontId="9" fillId="5" borderId="14" xfId="2" applyFont="1" applyBorder="1"/>
    <xf numFmtId="0" fontId="13" fillId="0" borderId="0" xfId="0" applyFont="1"/>
    <xf numFmtId="14" fontId="13" fillId="0" borderId="0" xfId="0" applyNumberFormat="1" applyFont="1"/>
    <xf numFmtId="14" fontId="14" fillId="0" borderId="1" xfId="0" applyNumberFormat="1" applyFont="1" applyBorder="1"/>
    <xf numFmtId="164" fontId="14" fillId="0" borderId="1" xfId="0" applyNumberFormat="1" applyFont="1" applyBorder="1" applyAlignment="1">
      <alignment horizontal="right"/>
    </xf>
    <xf numFmtId="14" fontId="14" fillId="0" borderId="2" xfId="0" applyNumberFormat="1" applyFont="1" applyBorder="1"/>
    <xf numFmtId="164" fontId="14" fillId="0" borderId="2" xfId="0" applyNumberFormat="1" applyFont="1" applyBorder="1" applyAlignment="1">
      <alignment horizontal="right"/>
    </xf>
    <xf numFmtId="20" fontId="14" fillId="0" borderId="2" xfId="0" applyNumberFormat="1" applyFont="1" applyBorder="1"/>
    <xf numFmtId="14" fontId="14" fillId="0" borderId="4" xfId="0" applyNumberFormat="1" applyFont="1" applyBorder="1"/>
    <xf numFmtId="164" fontId="14" fillId="0" borderId="4" xfId="0" applyNumberFormat="1" applyFont="1" applyBorder="1" applyAlignment="1">
      <alignment horizontal="right"/>
    </xf>
    <xf numFmtId="20" fontId="14" fillId="0" borderId="4" xfId="0" applyNumberFormat="1" applyFont="1" applyBorder="1"/>
    <xf numFmtId="20" fontId="14" fillId="0" borderId="4" xfId="0" quotePrefix="1" applyNumberFormat="1" applyFont="1" applyBorder="1" applyAlignment="1">
      <alignment horizontal="center"/>
    </xf>
    <xf numFmtId="20" fontId="14" fillId="0" borderId="4" xfId="0" applyNumberFormat="1" applyFont="1" applyBorder="1" applyAlignment="1">
      <alignment horizontal="center"/>
    </xf>
    <xf numFmtId="0" fontId="16" fillId="10" borderId="1" xfId="4" applyFont="1" applyFill="1" applyBorder="1" applyAlignment="1">
      <alignment horizontal="right" vertical="center" indent="1"/>
    </xf>
    <xf numFmtId="0" fontId="0" fillId="11" borderId="21" xfId="0" applyFill="1" applyBorder="1"/>
    <xf numFmtId="0" fontId="0" fillId="11" borderId="22" xfId="0" applyFill="1" applyBorder="1"/>
    <xf numFmtId="0" fontId="0" fillId="11" borderId="18" xfId="0" applyFill="1" applyBorder="1"/>
    <xf numFmtId="0" fontId="11" fillId="11" borderId="2" xfId="0" applyFont="1" applyFill="1" applyBorder="1" applyAlignment="1">
      <alignment horizontal="right" vertical="center" indent="1"/>
    </xf>
    <xf numFmtId="0" fontId="11" fillId="11" borderId="4" xfId="0" applyFont="1" applyFill="1" applyBorder="1" applyAlignment="1">
      <alignment horizontal="right" vertical="center" indent="1"/>
    </xf>
    <xf numFmtId="20" fontId="11" fillId="11" borderId="2" xfId="0" applyNumberFormat="1" applyFont="1" applyFill="1" applyBorder="1" applyAlignment="1">
      <alignment horizontal="right" vertical="center" indent="1"/>
    </xf>
    <xf numFmtId="20" fontId="11" fillId="11" borderId="4" xfId="0" applyNumberFormat="1" applyFont="1" applyFill="1" applyBorder="1" applyAlignment="1">
      <alignment horizontal="right" vertical="center" indent="1"/>
    </xf>
    <xf numFmtId="0" fontId="15" fillId="9" borderId="3" xfId="0" applyFont="1" applyFill="1" applyBorder="1" applyAlignment="1">
      <alignment horizontal="center"/>
    </xf>
    <xf numFmtId="14" fontId="15" fillId="8" borderId="3" xfId="0" applyNumberFormat="1" applyFont="1" applyFill="1" applyBorder="1"/>
    <xf numFmtId="0" fontId="15" fillId="0" borderId="3" xfId="0" quotePrefix="1" applyFont="1" applyBorder="1"/>
    <xf numFmtId="0" fontId="15" fillId="0" borderId="3" xfId="0" applyFont="1" applyBorder="1"/>
    <xf numFmtId="2" fontId="17" fillId="0" borderId="3" xfId="0" applyNumberFormat="1" applyFont="1" applyBorder="1"/>
    <xf numFmtId="0" fontId="15" fillId="9" borderId="3" xfId="0" applyFont="1" applyFill="1" applyBorder="1" applyAlignment="1">
      <alignment horizontal="right"/>
    </xf>
    <xf numFmtId="0" fontId="15" fillId="0" borderId="6" xfId="0" applyFont="1" applyBorder="1"/>
    <xf numFmtId="0" fontId="15" fillId="9" borderId="6" xfId="0" applyFont="1" applyFill="1" applyBorder="1" applyAlignment="1">
      <alignment horizontal="center"/>
    </xf>
    <xf numFmtId="0" fontId="15" fillId="9" borderId="5" xfId="0" applyFont="1" applyFill="1" applyBorder="1" applyAlignment="1">
      <alignment horizontal="center"/>
    </xf>
    <xf numFmtId="0" fontId="15" fillId="9" borderId="15" xfId="0" applyFont="1" applyFill="1" applyBorder="1" applyAlignment="1">
      <alignment horizontal="right"/>
    </xf>
    <xf numFmtId="165" fontId="17" fillId="0" borderId="3" xfId="0" applyNumberFormat="1" applyFont="1" applyBorder="1"/>
    <xf numFmtId="20" fontId="15" fillId="0" borderId="3" xfId="0" applyNumberFormat="1" applyFont="1" applyBorder="1" applyAlignment="1">
      <alignment horizontal="center"/>
    </xf>
    <xf numFmtId="0" fontId="15" fillId="9" borderId="20" xfId="0" applyFont="1" applyFill="1" applyBorder="1" applyAlignment="1">
      <alignment horizontal="right"/>
    </xf>
    <xf numFmtId="0" fontId="15" fillId="9" borderId="19" xfId="0" applyFont="1" applyFill="1" applyBorder="1" applyAlignment="1">
      <alignment horizontal="right"/>
    </xf>
    <xf numFmtId="20" fontId="14" fillId="0" borderId="2" xfId="0" quotePrefix="1" applyNumberFormat="1" applyFont="1" applyBorder="1"/>
    <xf numFmtId="0" fontId="6" fillId="0" borderId="0" xfId="0" applyFont="1"/>
    <xf numFmtId="14" fontId="0" fillId="0" borderId="0" xfId="0" applyNumberFormat="1"/>
    <xf numFmtId="0" fontId="3" fillId="0" borderId="0" xfId="0" applyFont="1" applyAlignment="1">
      <alignment vertical="center"/>
    </xf>
    <xf numFmtId="0" fontId="19" fillId="0" borderId="0" xfId="0" quotePrefix="1" applyFont="1" applyAlignment="1">
      <alignment vertical="center"/>
    </xf>
    <xf numFmtId="14" fontId="20" fillId="0" borderId="0" xfId="0" applyNumberFormat="1" applyFont="1"/>
    <xf numFmtId="0" fontId="17" fillId="3" borderId="3" xfId="0" applyFont="1" applyFill="1" applyBorder="1" applyAlignment="1" applyProtection="1">
      <alignment horizontal="center" vertical="center" wrapText="1"/>
      <protection locked="0"/>
    </xf>
    <xf numFmtId="20" fontId="14" fillId="0" borderId="4" xfId="0" quotePrefix="1" applyNumberFormat="1" applyFont="1" applyBorder="1"/>
    <xf numFmtId="14" fontId="12" fillId="7" borderId="1" xfId="4" quotePrefix="1" applyNumberFormat="1" applyFont="1" applyBorder="1"/>
    <xf numFmtId="14" fontId="9" fillId="5" borderId="4" xfId="2" quotePrefix="1" applyNumberFormat="1" applyFont="1" applyBorder="1" applyAlignment="1">
      <alignment horizontal="right" indent="1"/>
    </xf>
    <xf numFmtId="14" fontId="1" fillId="6" borderId="1" xfId="3" quotePrefix="1" applyNumberFormat="1" applyFont="1" applyBorder="1"/>
    <xf numFmtId="14" fontId="1" fillId="6" borderId="2" xfId="3" quotePrefix="1" applyNumberFormat="1" applyFont="1" applyBorder="1"/>
    <xf numFmtId="14" fontId="1" fillId="6" borderId="4" xfId="3" quotePrefix="1" applyNumberFormat="1" applyFont="1" applyBorder="1"/>
    <xf numFmtId="14" fontId="1" fillId="5" borderId="12" xfId="2" quotePrefix="1" applyNumberFormat="1" applyFont="1" applyBorder="1"/>
    <xf numFmtId="14" fontId="1" fillId="5" borderId="2" xfId="2" quotePrefix="1" applyNumberFormat="1" applyFont="1" applyBorder="1"/>
    <xf numFmtId="14" fontId="1" fillId="5" borderId="14" xfId="2" quotePrefix="1" applyNumberFormat="1" applyFont="1" applyBorder="1"/>
    <xf numFmtId="0" fontId="0" fillId="0" borderId="0" xfId="0" applyAlignment="1">
      <alignment vertical="center"/>
    </xf>
    <xf numFmtId="0" fontId="12" fillId="7" borderId="7" xfId="4" applyFont="1" applyBorder="1" applyAlignment="1">
      <alignment horizontal="center" vertical="center"/>
    </xf>
    <xf numFmtId="14" fontId="12" fillId="7" borderId="2" xfId="4" quotePrefix="1" applyNumberFormat="1" applyFont="1" applyBorder="1"/>
    <xf numFmtId="14" fontId="12" fillId="7" borderId="4" xfId="4" quotePrefix="1" applyNumberFormat="1" applyFont="1" applyBorder="1"/>
    <xf numFmtId="14" fontId="1" fillId="5" borderId="10" xfId="2" quotePrefix="1" applyNumberFormat="1" applyFont="1" applyBorder="1"/>
    <xf numFmtId="14" fontId="13" fillId="0" borderId="0" xfId="0" applyNumberFormat="1" applyFont="1" applyAlignment="1">
      <alignment horizontal="left" indent="1"/>
    </xf>
    <xf numFmtId="20" fontId="14" fillId="0" borderId="0" xfId="0" applyNumberFormat="1" applyFont="1" applyAlignment="1">
      <alignment horizontal="center"/>
    </xf>
    <xf numFmtId="165" fontId="17" fillId="0" borderId="0" xfId="0" applyNumberFormat="1" applyFont="1"/>
    <xf numFmtId="2" fontId="17" fillId="0" borderId="0" xfId="0" applyNumberFormat="1" applyFont="1"/>
    <xf numFmtId="0" fontId="17" fillId="0" borderId="5" xfId="0" applyFont="1" applyBorder="1" applyAlignment="1" applyProtection="1">
      <alignment horizontal="center" vertical="center" wrapText="1"/>
      <protection locked="0"/>
    </xf>
    <xf numFmtId="20" fontId="14" fillId="0" borderId="3" xfId="0" applyNumberFormat="1" applyFont="1" applyBorder="1" applyAlignment="1">
      <alignment horizontal="center"/>
    </xf>
    <xf numFmtId="20" fontId="14" fillId="8" borderId="1" xfId="0" applyNumberFormat="1" applyFont="1" applyFill="1" applyBorder="1" applyAlignment="1">
      <alignment horizontal="left" vertical="center" indent="1"/>
    </xf>
    <xf numFmtId="20" fontId="14" fillId="8" borderId="2" xfId="0" applyNumberFormat="1" applyFont="1" applyFill="1" applyBorder="1" applyAlignment="1">
      <alignment horizontal="left" vertical="center" indent="1"/>
    </xf>
    <xf numFmtId="20" fontId="14" fillId="8" borderId="4" xfId="0" applyNumberFormat="1" applyFont="1" applyFill="1" applyBorder="1" applyAlignment="1">
      <alignment horizontal="left" vertical="center" indent="1"/>
    </xf>
    <xf numFmtId="20" fontId="14" fillId="12" borderId="3" xfId="0" applyNumberFormat="1" applyFont="1" applyFill="1" applyBorder="1" applyAlignment="1">
      <alignment horizontal="center"/>
    </xf>
    <xf numFmtId="20" fontId="14" fillId="11" borderId="1" xfId="0" applyNumberFormat="1" applyFont="1" applyFill="1" applyBorder="1" applyAlignment="1">
      <alignment horizontal="center"/>
    </xf>
    <xf numFmtId="20" fontId="14" fillId="11" borderId="2" xfId="0" applyNumberFormat="1" applyFont="1" applyFill="1" applyBorder="1" applyAlignment="1">
      <alignment horizontal="center"/>
    </xf>
    <xf numFmtId="20" fontId="14" fillId="11" borderId="4" xfId="0" applyNumberFormat="1" applyFont="1" applyFill="1" applyBorder="1" applyAlignment="1">
      <alignment horizontal="center"/>
    </xf>
    <xf numFmtId="164" fontId="14" fillId="8" borderId="2" xfId="0" applyNumberFormat="1" applyFont="1" applyFill="1" applyBorder="1" applyAlignment="1">
      <alignment horizontal="left" vertical="center" indent="1"/>
    </xf>
    <xf numFmtId="164" fontId="14" fillId="8" borderId="13" xfId="0" applyNumberFormat="1" applyFont="1" applyFill="1" applyBorder="1" applyAlignment="1">
      <alignment horizontal="left" vertical="center" indent="1"/>
    </xf>
    <xf numFmtId="20" fontId="14" fillId="0" borderId="5" xfId="0" applyNumberFormat="1" applyFont="1" applyBorder="1" applyAlignment="1">
      <alignment horizontal="center"/>
    </xf>
    <xf numFmtId="0" fontId="21" fillId="13" borderId="2" xfId="0" applyFont="1" applyFill="1" applyBorder="1" applyAlignment="1">
      <alignment horizontal="center" vertical="center"/>
    </xf>
    <xf numFmtId="0" fontId="21" fillId="13" borderId="4" xfId="0" applyFont="1" applyFill="1" applyBorder="1" applyAlignment="1">
      <alignment horizontal="center" vertical="center"/>
    </xf>
    <xf numFmtId="0" fontId="15" fillId="0" borderId="11" xfId="0" applyFont="1" applyBorder="1"/>
    <xf numFmtId="0" fontId="14" fillId="0" borderId="23" xfId="0" applyFont="1" applyBorder="1" applyAlignment="1">
      <alignment horizontal="center"/>
    </xf>
    <xf numFmtId="0" fontId="14" fillId="0" borderId="0" xfId="0" applyFont="1" applyAlignment="1">
      <alignment horizontal="center"/>
    </xf>
    <xf numFmtId="0" fontId="15" fillId="0" borderId="0" xfId="0" applyFont="1" applyProtection="1">
      <protection locked="0"/>
    </xf>
    <xf numFmtId="20" fontId="14" fillId="8" borderId="1" xfId="0" applyNumberFormat="1" applyFont="1" applyFill="1" applyBorder="1" applyAlignment="1">
      <alignment horizontal="right" vertical="center" indent="1"/>
    </xf>
    <xf numFmtId="20" fontId="14" fillId="8" borderId="4" xfId="0" applyNumberFormat="1" applyFont="1" applyFill="1" applyBorder="1" applyAlignment="1">
      <alignment horizontal="right" vertical="center" indent="1"/>
    </xf>
    <xf numFmtId="20" fontId="14" fillId="8" borderId="3" xfId="0" applyNumberFormat="1" applyFont="1" applyFill="1" applyBorder="1" applyAlignment="1">
      <alignment horizontal="center"/>
    </xf>
    <xf numFmtId="14" fontId="15" fillId="12" borderId="3" xfId="0" applyNumberFormat="1" applyFont="1" applyFill="1" applyBorder="1" applyAlignment="1">
      <alignment horizontal="right"/>
    </xf>
    <xf numFmtId="14" fontId="15" fillId="12" borderId="7" xfId="0" applyNumberFormat="1" applyFont="1" applyFill="1" applyBorder="1"/>
    <xf numFmtId="0" fontId="17" fillId="0" borderId="0" xfId="0" applyFont="1" applyAlignment="1">
      <alignment vertical="center"/>
    </xf>
    <xf numFmtId="0" fontId="15" fillId="0" borderId="0" xfId="0" applyFont="1" applyAlignment="1">
      <alignment horizontal="right"/>
    </xf>
    <xf numFmtId="0" fontId="17" fillId="0" borderId="0" xfId="0" applyFont="1" applyAlignment="1">
      <alignment horizontal="center" vertical="center"/>
    </xf>
    <xf numFmtId="0" fontId="17" fillId="0" borderId="0" xfId="0" applyFont="1"/>
    <xf numFmtId="0" fontId="3" fillId="0" borderId="0" xfId="0" applyFont="1"/>
    <xf numFmtId="0" fontId="6" fillId="2" borderId="0" xfId="0" applyFont="1" applyFill="1" applyAlignment="1">
      <alignment horizontal="right" indent="1"/>
    </xf>
    <xf numFmtId="166" fontId="14" fillId="12" borderId="2" xfId="0" applyNumberFormat="1" applyFont="1" applyFill="1" applyBorder="1" applyProtection="1">
      <protection locked="0"/>
    </xf>
    <xf numFmtId="166" fontId="14" fillId="12" borderId="4" xfId="0" applyNumberFormat="1" applyFont="1" applyFill="1" applyBorder="1" applyProtection="1">
      <protection locked="0"/>
    </xf>
    <xf numFmtId="20" fontId="15" fillId="0" borderId="3" xfId="0" applyNumberFormat="1" applyFont="1" applyBorder="1"/>
    <xf numFmtId="20" fontId="15" fillId="0" borderId="3" xfId="0" quotePrefix="1" applyNumberFormat="1" applyFont="1" applyBorder="1"/>
    <xf numFmtId="20" fontId="14" fillId="0" borderId="4" xfId="0" quotePrefix="1" applyNumberFormat="1" applyFont="1" applyBorder="1" applyAlignment="1">
      <alignment horizontal="center" vertical="center"/>
    </xf>
    <xf numFmtId="20" fontId="14" fillId="0" borderId="2" xfId="0" quotePrefix="1" applyNumberFormat="1" applyFont="1" applyBorder="1" applyAlignment="1">
      <alignment horizontal="center" vertical="center"/>
    </xf>
    <xf numFmtId="20" fontId="14" fillId="8" borderId="3" xfId="0" applyNumberFormat="1" applyFont="1" applyFill="1" applyBorder="1" applyAlignment="1">
      <alignment horizontal="right" indent="1"/>
    </xf>
    <xf numFmtId="0" fontId="3" fillId="0" borderId="0" xfId="0" applyFont="1" applyAlignment="1">
      <alignment horizontal="center" vertical="center" wrapText="1"/>
    </xf>
    <xf numFmtId="0" fontId="25" fillId="11" borderId="18" xfId="5" applyFont="1" applyFill="1" applyBorder="1" applyProtection="1">
      <protection locked="0"/>
    </xf>
    <xf numFmtId="0" fontId="25" fillId="11" borderId="3" xfId="5" applyFont="1" applyFill="1" applyBorder="1" applyProtection="1">
      <protection locked="0"/>
    </xf>
    <xf numFmtId="0" fontId="1" fillId="5" borderId="2" xfId="2" applyFont="1" applyBorder="1" applyAlignment="1">
      <alignment horizontal="center"/>
    </xf>
    <xf numFmtId="0" fontId="1" fillId="5" borderId="13" xfId="2" applyFont="1" applyBorder="1" applyAlignment="1">
      <alignment horizontal="center" vertical="center"/>
    </xf>
    <xf numFmtId="20" fontId="14" fillId="0" borderId="12" xfId="0" quotePrefix="1" applyNumberFormat="1" applyFont="1" applyBorder="1" applyAlignment="1">
      <alignment horizontal="center" vertical="center"/>
    </xf>
    <xf numFmtId="0" fontId="6" fillId="0" borderId="0" xfId="0" quotePrefix="1" applyFont="1"/>
    <xf numFmtId="0" fontId="0" fillId="0" borderId="0" xfId="0" quotePrefix="1"/>
    <xf numFmtId="0" fontId="18" fillId="0" borderId="0" xfId="0" applyFont="1" applyAlignment="1">
      <alignment vertical="center"/>
    </xf>
    <xf numFmtId="0" fontId="21" fillId="13" borderId="12" xfId="0" applyFont="1" applyFill="1" applyBorder="1" applyAlignment="1">
      <alignment horizontal="center" vertical="center"/>
    </xf>
    <xf numFmtId="166" fontId="14" fillId="12" borderId="12" xfId="0" applyNumberFormat="1" applyFont="1" applyFill="1" applyBorder="1" applyProtection="1">
      <protection locked="0"/>
    </xf>
    <xf numFmtId="20" fontId="14" fillId="0" borderId="12" xfId="0" quotePrefix="1" applyNumberFormat="1" applyFont="1" applyBorder="1"/>
    <xf numFmtId="20" fontId="14" fillId="0" borderId="12" xfId="0" applyNumberFormat="1" applyFont="1" applyBorder="1"/>
    <xf numFmtId="20" fontId="14" fillId="0" borderId="12" xfId="0" quotePrefix="1" applyNumberFormat="1" applyFont="1" applyBorder="1" applyAlignment="1">
      <alignment horizontal="center"/>
    </xf>
    <xf numFmtId="0" fontId="0" fillId="12" borderId="6" xfId="0" applyFill="1" applyBorder="1"/>
    <xf numFmtId="0" fontId="0" fillId="12" borderId="11" xfId="0" applyFill="1" applyBorder="1"/>
    <xf numFmtId="0" fontId="0" fillId="12" borderId="7" xfId="0" applyFill="1" applyBorder="1"/>
    <xf numFmtId="0" fontId="17" fillId="0" borderId="0" xfId="0" quotePrefix="1" applyFont="1" applyAlignment="1">
      <alignment vertical="center"/>
    </xf>
    <xf numFmtId="0" fontId="17" fillId="0" borderId="0" xfId="0" applyFont="1" applyAlignment="1" applyProtection="1">
      <alignment horizontal="center" vertical="center" wrapText="1"/>
      <protection locked="0"/>
    </xf>
    <xf numFmtId="20" fontId="14" fillId="0" borderId="12" xfId="0" applyNumberFormat="1" applyFont="1" applyBorder="1" applyAlignment="1">
      <alignment horizontal="center"/>
    </xf>
    <xf numFmtId="165" fontId="15" fillId="0" borderId="3" xfId="0" applyNumberFormat="1" applyFont="1" applyBorder="1" applyAlignment="1">
      <alignment horizontal="center"/>
    </xf>
    <xf numFmtId="14" fontId="14" fillId="0" borderId="0" xfId="0" applyNumberFormat="1" applyFont="1" applyAlignment="1">
      <alignment horizontal="center"/>
    </xf>
    <xf numFmtId="0" fontId="0" fillId="0" borderId="0" xfId="0" applyAlignment="1">
      <alignment horizontal="right"/>
    </xf>
    <xf numFmtId="0" fontId="15" fillId="0" borderId="24" xfId="0" applyFont="1" applyBorder="1" applyAlignment="1">
      <alignment horizontal="right"/>
    </xf>
    <xf numFmtId="0" fontId="15" fillId="0" borderId="17" xfId="0" applyFont="1" applyBorder="1" applyAlignment="1">
      <alignment horizontal="right"/>
    </xf>
    <xf numFmtId="2" fontId="17" fillId="0" borderId="17" xfId="0" applyNumberFormat="1" applyFont="1" applyBorder="1"/>
    <xf numFmtId="165" fontId="0" fillId="0" borderId="0" xfId="0" applyNumberFormat="1"/>
    <xf numFmtId="165" fontId="15" fillId="0" borderId="3" xfId="0" quotePrefix="1" applyNumberFormat="1" applyFont="1" applyBorder="1" applyAlignment="1">
      <alignment horizontal="center"/>
    </xf>
    <xf numFmtId="20" fontId="14" fillId="12" borderId="2" xfId="0" applyNumberFormat="1" applyFont="1" applyFill="1" applyBorder="1" applyAlignment="1">
      <alignment horizontal="left" indent="1"/>
    </xf>
    <xf numFmtId="165" fontId="14" fillId="12" borderId="2" xfId="0" applyNumberFormat="1" applyFont="1" applyFill="1" applyBorder="1" applyAlignment="1">
      <alignment horizontal="center"/>
    </xf>
    <xf numFmtId="20" fontId="21" fillId="12" borderId="3" xfId="0" applyNumberFormat="1" applyFont="1" applyFill="1" applyBorder="1" applyAlignment="1">
      <alignment horizontal="center"/>
    </xf>
    <xf numFmtId="165" fontId="14" fillId="12" borderId="3" xfId="0" applyNumberFormat="1" applyFont="1" applyFill="1" applyBorder="1" applyAlignment="1">
      <alignment horizontal="center"/>
    </xf>
    <xf numFmtId="20" fontId="14" fillId="16" borderId="1" xfId="0" applyNumberFormat="1" applyFont="1" applyFill="1" applyBorder="1" applyAlignment="1">
      <alignment horizontal="left" indent="1"/>
    </xf>
    <xf numFmtId="165" fontId="14" fillId="16" borderId="1" xfId="0" applyNumberFormat="1" applyFont="1" applyFill="1" applyBorder="1" applyAlignment="1">
      <alignment horizontal="center"/>
    </xf>
    <xf numFmtId="20" fontId="14" fillId="0" borderId="2" xfId="0" applyNumberFormat="1" applyFont="1" applyBorder="1" applyAlignment="1">
      <alignment horizontal="left" indent="1"/>
    </xf>
    <xf numFmtId="165" fontId="14" fillId="0" borderId="2" xfId="0" applyNumberFormat="1" applyFont="1" applyBorder="1" applyAlignment="1">
      <alignment horizontal="center"/>
    </xf>
    <xf numFmtId="20" fontId="14" fillId="0" borderId="4" xfId="0" applyNumberFormat="1" applyFont="1" applyBorder="1" applyAlignment="1">
      <alignment horizontal="left" indent="1"/>
    </xf>
    <xf numFmtId="165" fontId="14" fillId="0" borderId="4" xfId="0" applyNumberFormat="1" applyFont="1" applyBorder="1" applyAlignment="1">
      <alignment horizontal="center"/>
    </xf>
    <xf numFmtId="20" fontId="14" fillId="12" borderId="3" xfId="0" applyNumberFormat="1" applyFont="1" applyFill="1" applyBorder="1" applyAlignment="1">
      <alignment horizontal="left" vertical="center" indent="1"/>
    </xf>
    <xf numFmtId="165" fontId="21" fillId="12" borderId="3" xfId="0" applyNumberFormat="1" applyFont="1" applyFill="1" applyBorder="1" applyAlignment="1">
      <alignment horizontal="center"/>
    </xf>
    <xf numFmtId="20" fontId="14" fillId="12" borderId="3" xfId="0" applyNumberFormat="1" applyFont="1" applyFill="1" applyBorder="1" applyAlignment="1">
      <alignment horizontal="left" indent="1"/>
    </xf>
    <xf numFmtId="20" fontId="14" fillId="0" borderId="1" xfId="0" applyNumberFormat="1" applyFont="1" applyBorder="1" applyAlignment="1">
      <alignment horizontal="left" indent="1"/>
    </xf>
    <xf numFmtId="165" fontId="14" fillId="0" borderId="1" xfId="0" applyNumberFormat="1" applyFont="1" applyBorder="1" applyAlignment="1">
      <alignment horizontal="center"/>
    </xf>
    <xf numFmtId="0" fontId="28" fillId="0" borderId="0" xfId="0" applyFont="1"/>
    <xf numFmtId="20" fontId="14" fillId="0" borderId="17" xfId="0" applyNumberFormat="1" applyFont="1" applyBorder="1" applyAlignment="1">
      <alignment horizontal="right" indent="1"/>
    </xf>
    <xf numFmtId="0" fontId="25" fillId="0" borderId="17" xfId="5" applyFont="1" applyFill="1" applyBorder="1" applyProtection="1">
      <protection locked="0"/>
    </xf>
    <xf numFmtId="20" fontId="14" fillId="0" borderId="0" xfId="0" applyNumberFormat="1" applyFont="1" applyAlignment="1">
      <alignment horizontal="right" indent="1"/>
    </xf>
    <xf numFmtId="0" fontId="25" fillId="0" borderId="0" xfId="5" applyFont="1" applyFill="1" applyBorder="1" applyProtection="1">
      <protection locked="0"/>
    </xf>
    <xf numFmtId="167" fontId="0" fillId="0" borderId="0" xfId="0" applyNumberFormat="1"/>
    <xf numFmtId="167" fontId="6" fillId="0" borderId="0" xfId="0" applyNumberFormat="1" applyFont="1"/>
    <xf numFmtId="0" fontId="6" fillId="2" borderId="0" xfId="0" applyFont="1" applyFill="1" applyAlignment="1">
      <alignment horizontal="center" vertical="center" wrapText="1"/>
    </xf>
    <xf numFmtId="0" fontId="0" fillId="0" borderId="0" xfId="0" applyAlignment="1">
      <alignment horizontal="center" vertical="center" wrapText="1"/>
    </xf>
    <xf numFmtId="20" fontId="15" fillId="0" borderId="3" xfId="0" quotePrefix="1" applyNumberFormat="1" applyFont="1" applyBorder="1" applyAlignment="1">
      <alignment horizontal="left" indent="1"/>
    </xf>
    <xf numFmtId="167" fontId="30" fillId="0" borderId="3" xfId="0" quotePrefix="1" applyNumberFormat="1" applyFont="1" applyBorder="1" applyAlignment="1">
      <alignment horizontal="center"/>
    </xf>
    <xf numFmtId="14" fontId="20" fillId="0" borderId="0" xfId="0" quotePrefix="1" applyNumberFormat="1" applyFont="1"/>
    <xf numFmtId="0" fontId="31" fillId="0" borderId="8" xfId="0" applyFont="1" applyBorder="1" applyAlignment="1">
      <alignment horizontal="center" vertical="center"/>
    </xf>
    <xf numFmtId="0" fontId="0" fillId="12" borderId="11" xfId="0" applyFill="1" applyBorder="1" applyAlignment="1">
      <alignment horizontal="left" vertical="center" indent="1"/>
    </xf>
    <xf numFmtId="0" fontId="3" fillId="8" borderId="3" xfId="0" applyFont="1" applyFill="1" applyBorder="1" applyAlignment="1">
      <alignment horizontal="right" vertical="center" indent="1"/>
    </xf>
    <xf numFmtId="20" fontId="14" fillId="0" borderId="9" xfId="0" quotePrefix="1" applyNumberFormat="1" applyFont="1" applyBorder="1"/>
    <xf numFmtId="2" fontId="15" fillId="0" borderId="0" xfId="0" applyNumberFormat="1" applyFont="1"/>
    <xf numFmtId="20" fontId="0" fillId="0" borderId="0" xfId="0" applyNumberFormat="1" applyAlignment="1">
      <alignment vertical="center"/>
    </xf>
    <xf numFmtId="0" fontId="3" fillId="12" borderId="6" xfId="0" applyFont="1" applyFill="1" applyBorder="1" applyAlignment="1">
      <alignment horizontal="left" vertical="center" indent="1"/>
    </xf>
    <xf numFmtId="0" fontId="3" fillId="12" borderId="11" xfId="0" applyFont="1" applyFill="1" applyBorder="1" applyAlignment="1">
      <alignment horizontal="center"/>
    </xf>
    <xf numFmtId="0" fontId="6" fillId="12" borderId="11" xfId="0" applyFont="1" applyFill="1" applyBorder="1"/>
    <xf numFmtId="0" fontId="0" fillId="12" borderId="6" xfId="0" applyFill="1" applyBorder="1" applyAlignment="1">
      <alignment horizontal="left" vertical="center" indent="1"/>
    </xf>
    <xf numFmtId="0" fontId="3" fillId="8" borderId="3" xfId="0" applyFont="1" applyFill="1" applyBorder="1" applyAlignment="1">
      <alignment horizontal="right" vertical="center"/>
    </xf>
    <xf numFmtId="0" fontId="0" fillId="8" borderId="3" xfId="0" applyFill="1" applyBorder="1" applyAlignment="1">
      <alignment horizontal="right" vertical="center" indent="1"/>
    </xf>
    <xf numFmtId="0" fontId="0" fillId="8" borderId="3" xfId="0" applyFill="1" applyBorder="1" applyAlignment="1">
      <alignment horizontal="right" vertical="center"/>
    </xf>
    <xf numFmtId="20" fontId="0" fillId="0" borderId="0" xfId="0" applyNumberFormat="1"/>
    <xf numFmtId="0" fontId="12" fillId="7" borderId="13" xfId="4" applyFont="1" applyBorder="1" applyAlignment="1">
      <alignment horizontal="center"/>
    </xf>
    <xf numFmtId="0" fontId="12" fillId="7" borderId="13" xfId="4" applyFont="1" applyBorder="1" applyAlignment="1">
      <alignment horizontal="left" indent="1"/>
    </xf>
    <xf numFmtId="0" fontId="22" fillId="15" borderId="6" xfId="0" quotePrefix="1" applyFont="1" applyFill="1" applyBorder="1" applyAlignment="1">
      <alignment horizontal="center" vertical="center"/>
    </xf>
    <xf numFmtId="0" fontId="22" fillId="15" borderId="11" xfId="0" quotePrefix="1" applyFont="1" applyFill="1" applyBorder="1" applyAlignment="1">
      <alignment horizontal="center" vertical="center"/>
    </xf>
    <xf numFmtId="0" fontId="22" fillId="15" borderId="7" xfId="0" quotePrefix="1" applyFont="1" applyFill="1" applyBorder="1" applyAlignment="1">
      <alignment horizontal="center" vertical="center"/>
    </xf>
    <xf numFmtId="0" fontId="6" fillId="2" borderId="0" xfId="0" applyFont="1" applyFill="1" applyAlignment="1">
      <alignment horizontal="center" vertical="center" wrapText="1"/>
    </xf>
    <xf numFmtId="0" fontId="0" fillId="0" borderId="0" xfId="0" applyAlignment="1">
      <alignment horizontal="center" vertical="center" wrapText="1"/>
    </xf>
    <xf numFmtId="0" fontId="22" fillId="0" borderId="0" xfId="0" applyFont="1" applyAlignment="1">
      <alignment horizontal="center" vertical="center"/>
    </xf>
    <xf numFmtId="0" fontId="0" fillId="0" borderId="0" xfId="0" applyAlignment="1">
      <alignment horizontal="right"/>
    </xf>
    <xf numFmtId="0" fontId="3" fillId="8" borderId="6" xfId="0" applyFont="1" applyFill="1" applyBorder="1" applyAlignment="1">
      <alignment horizontal="right" vertical="center" indent="1"/>
    </xf>
    <xf numFmtId="0" fontId="0" fillId="0" borderId="7" xfId="0" applyBorder="1" applyAlignment="1">
      <alignment horizontal="right" vertical="center" indent="1"/>
    </xf>
    <xf numFmtId="0" fontId="17" fillId="3" borderId="6" xfId="0" applyFont="1" applyFill="1" applyBorder="1" applyAlignment="1" applyProtection="1">
      <alignment horizontal="center" vertical="center" wrapText="1"/>
      <protection locked="0"/>
    </xf>
    <xf numFmtId="0" fontId="0" fillId="0" borderId="7" xfId="0" applyBorder="1" applyAlignment="1">
      <alignment horizontal="center"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2" fillId="3" borderId="24" xfId="0" applyFont="1" applyFill="1" applyBorder="1" applyAlignment="1" applyProtection="1">
      <alignment horizontal="center" vertical="center" wrapText="1"/>
      <protection locked="0"/>
    </xf>
    <xf numFmtId="0" fontId="22" fillId="3" borderId="25" xfId="0" applyFont="1" applyFill="1" applyBorder="1" applyAlignment="1" applyProtection="1">
      <alignment horizontal="center" vertical="center" wrapText="1"/>
      <protection locked="0"/>
    </xf>
    <xf numFmtId="0" fontId="22" fillId="3" borderId="21" xfId="0" applyFont="1" applyFill="1" applyBorder="1" applyAlignment="1" applyProtection="1">
      <alignment horizontal="center" vertical="center" wrapText="1"/>
      <protection locked="0"/>
    </xf>
    <xf numFmtId="0" fontId="22" fillId="3" borderId="18" xfId="0" applyFont="1" applyFill="1" applyBorder="1" applyAlignment="1" applyProtection="1">
      <alignment horizontal="center" vertical="center" wrapText="1"/>
      <protection locked="0"/>
    </xf>
    <xf numFmtId="0" fontId="22" fillId="0" borderId="0" xfId="0" applyFont="1" applyAlignment="1">
      <alignment vertical="center"/>
    </xf>
    <xf numFmtId="0" fontId="0" fillId="8" borderId="3" xfId="0" applyFill="1" applyBorder="1" applyAlignment="1">
      <alignment horizontal="left" vertical="center" indent="1"/>
    </xf>
    <xf numFmtId="0" fontId="0" fillId="12" borderId="3" xfId="0" applyFill="1" applyBorder="1" applyAlignment="1">
      <alignment horizontal="left" vertical="center" indent="1"/>
    </xf>
    <xf numFmtId="0" fontId="17" fillId="3" borderId="24" xfId="0" applyFont="1" applyFill="1" applyBorder="1" applyAlignment="1" applyProtection="1">
      <alignment horizontal="center" vertical="center" wrapText="1"/>
      <protection locked="0"/>
    </xf>
    <xf numFmtId="0" fontId="17" fillId="3" borderId="25" xfId="0" applyFont="1" applyFill="1" applyBorder="1" applyAlignment="1" applyProtection="1">
      <alignment horizontal="center" vertical="center" wrapText="1"/>
      <protection locked="0"/>
    </xf>
    <xf numFmtId="0" fontId="17" fillId="3" borderId="21" xfId="0" applyFont="1" applyFill="1" applyBorder="1" applyAlignment="1" applyProtection="1">
      <alignment horizontal="center" vertical="center" wrapText="1"/>
      <protection locked="0"/>
    </xf>
    <xf numFmtId="0" fontId="17" fillId="3" borderId="18" xfId="0" applyFont="1" applyFill="1" applyBorder="1" applyAlignment="1" applyProtection="1">
      <alignment horizontal="center" vertical="center" wrapText="1"/>
      <protection locked="0"/>
    </xf>
    <xf numFmtId="0" fontId="11" fillId="7" borderId="1" xfId="4" applyFont="1" applyBorder="1" applyAlignment="1">
      <alignment horizontal="center" vertical="center" textRotation="90"/>
    </xf>
    <xf numFmtId="0" fontId="11" fillId="7" borderId="2" xfId="4" applyFont="1" applyBorder="1" applyAlignment="1">
      <alignment horizontal="center" vertical="center" textRotation="90"/>
    </xf>
    <xf numFmtId="0" fontId="11" fillId="7" borderId="13" xfId="4" applyFont="1" applyBorder="1" applyAlignment="1">
      <alignment horizontal="center" vertical="center" textRotation="90"/>
    </xf>
    <xf numFmtId="0" fontId="11" fillId="7" borderId="4" xfId="4" applyFont="1" applyBorder="1" applyAlignment="1">
      <alignment horizontal="center" vertical="center" textRotation="90"/>
    </xf>
    <xf numFmtId="0" fontId="11" fillId="6" borderId="1" xfId="3" applyFont="1" applyBorder="1" applyAlignment="1">
      <alignment horizontal="center" vertical="center" textRotation="90"/>
    </xf>
    <xf numFmtId="0" fontId="11" fillId="6" borderId="2" xfId="3" applyFont="1" applyBorder="1" applyAlignment="1">
      <alignment horizontal="center" vertical="center" textRotation="90"/>
    </xf>
    <xf numFmtId="0" fontId="11" fillId="6" borderId="4" xfId="3" applyFont="1" applyBorder="1" applyAlignment="1">
      <alignment horizontal="center" vertical="center" textRotation="90"/>
    </xf>
    <xf numFmtId="0" fontId="9" fillId="5" borderId="10" xfId="2" applyFont="1" applyBorder="1" applyAlignment="1">
      <alignment horizontal="center" vertical="center" textRotation="90"/>
    </xf>
    <xf numFmtId="0" fontId="9" fillId="5" borderId="3" xfId="2" applyFont="1" applyBorder="1" applyAlignment="1">
      <alignment horizontal="center" vertical="center" textRotation="90"/>
    </xf>
    <xf numFmtId="0" fontId="16" fillId="4" borderId="1" xfId="1" applyFont="1" applyBorder="1" applyAlignment="1">
      <alignment horizontal="center" vertical="center"/>
    </xf>
    <xf numFmtId="0" fontId="10" fillId="4" borderId="5" xfId="1" applyBorder="1" applyAlignment="1">
      <alignment horizontal="center" vertical="center"/>
    </xf>
    <xf numFmtId="0" fontId="10" fillId="4" borderId="0" xfId="1" applyBorder="1" applyAlignment="1">
      <alignment horizontal="center" vertical="center"/>
    </xf>
  </cellXfs>
  <cellStyles count="6">
    <cellStyle name="20% - Ênfase5" xfId="2" builtinId="46"/>
    <cellStyle name="40% - Ênfase5" xfId="3" builtinId="47"/>
    <cellStyle name="60% - Ênfase5" xfId="4" builtinId="48"/>
    <cellStyle name="Ênfase1" xfId="5" builtinId="29"/>
    <cellStyle name="Ênfase5" xfId="1" builtinId="45"/>
    <cellStyle name="Normal" xfId="0" builtinId="0"/>
  </cellStyles>
  <dxfs count="97">
    <dxf>
      <font>
        <color theme="0"/>
      </font>
    </dxf>
    <dxf>
      <font>
        <color theme="0"/>
      </font>
    </dxf>
    <dxf>
      <font>
        <color theme="0"/>
      </font>
    </dxf>
    <dxf>
      <font>
        <color theme="0"/>
      </font>
    </dxf>
    <dxf>
      <font>
        <b/>
        <i val="0"/>
        <color theme="5"/>
      </font>
      <border>
        <left style="thin">
          <color auto="1"/>
        </left>
        <right style="thin">
          <color auto="1"/>
        </right>
        <top style="thin">
          <color auto="1"/>
        </top>
        <bottom style="thin">
          <color auto="1"/>
        </bottom>
        <vertical/>
        <horizontal/>
      </border>
    </dxf>
    <dxf>
      <font>
        <b/>
        <i val="0"/>
        <color theme="5"/>
      </font>
    </dxf>
    <dxf>
      <font>
        <b/>
        <i val="0"/>
        <color theme="5"/>
      </font>
    </dxf>
    <dxf>
      <font>
        <b/>
        <i val="0"/>
        <color theme="5"/>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59996337778862885"/>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bgColor theme="8" tint="0.59996337778862885"/>
        </patternFill>
      </fill>
      <border>
        <left style="thin">
          <color auto="1"/>
        </left>
        <right style="thin">
          <color auto="1"/>
        </right>
        <bottom style="thin">
          <color auto="1"/>
        </bottom>
        <vertical/>
        <horizontal/>
      </border>
    </dxf>
    <dxf>
      <fill>
        <patternFill>
          <bgColor theme="4"/>
        </patternFill>
      </fill>
      <border>
        <top style="thin">
          <color auto="1"/>
        </top>
        <bottom style="thin">
          <color auto="1"/>
        </bottom>
        <vertical/>
        <horizontal/>
      </border>
    </dxf>
    <dxf>
      <font>
        <b/>
        <i val="0"/>
        <color theme="0"/>
      </font>
      <fill>
        <patternFill>
          <bgColor theme="4"/>
        </patternFill>
      </fill>
      <border>
        <left style="thin">
          <color auto="1"/>
        </left>
        <right style="thin">
          <color auto="1"/>
        </right>
        <top style="thin">
          <color auto="1"/>
        </top>
        <bottom style="thin">
          <color auto="1"/>
        </bottom>
        <vertical/>
        <horizontal/>
      </border>
    </dxf>
    <dxf>
      <font>
        <b/>
        <i val="0"/>
        <color theme="0"/>
      </font>
      <fill>
        <patternFill>
          <bgColor theme="4"/>
        </patternFill>
      </fill>
      <border>
        <left style="thin">
          <color auto="1"/>
        </left>
        <right style="thin">
          <color auto="1"/>
        </right>
        <top style="thin">
          <color auto="1"/>
        </top>
        <bottom style="thin">
          <color auto="1"/>
        </bottom>
        <vertical/>
        <horizontal/>
      </border>
    </dxf>
    <dxf>
      <font>
        <b/>
        <i val="0"/>
        <color theme="5"/>
      </font>
      <border>
        <left style="thin">
          <color auto="1"/>
        </left>
        <right style="thin">
          <color auto="1"/>
        </right>
        <top style="thin">
          <color auto="1"/>
        </top>
        <bottom style="thin">
          <color auto="1"/>
        </bottom>
        <vertical/>
        <horizontal/>
      </border>
    </dxf>
    <dxf>
      <font>
        <b/>
        <i val="0"/>
        <color theme="5"/>
      </font>
    </dxf>
    <dxf>
      <font>
        <b/>
        <i val="0"/>
        <color theme="5"/>
      </font>
    </dxf>
    <dxf>
      <font>
        <b/>
        <i val="0"/>
        <color theme="5"/>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59996337778862885"/>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bgColor theme="8" tint="0.59996337778862885"/>
        </patternFill>
      </fill>
      <border>
        <left style="thin">
          <color auto="1"/>
        </left>
        <right style="thin">
          <color auto="1"/>
        </right>
        <bottom style="thin">
          <color auto="1"/>
        </bottom>
        <vertical/>
        <horizontal/>
      </border>
    </dxf>
    <dxf>
      <fill>
        <patternFill>
          <bgColor theme="4"/>
        </patternFill>
      </fill>
      <border>
        <top style="thin">
          <color auto="1"/>
        </top>
        <bottom style="thin">
          <color auto="1"/>
        </bottom>
        <vertical/>
        <horizontal/>
      </border>
    </dxf>
    <dxf>
      <font>
        <b/>
        <i val="0"/>
        <color theme="0"/>
      </font>
      <fill>
        <patternFill>
          <bgColor theme="4"/>
        </patternFill>
      </fill>
      <border>
        <left style="thin">
          <color auto="1"/>
        </left>
        <right style="thin">
          <color auto="1"/>
        </right>
        <top style="thin">
          <color auto="1"/>
        </top>
        <bottom style="thin">
          <color auto="1"/>
        </bottom>
        <vertical/>
        <horizontal/>
      </border>
    </dxf>
    <dxf>
      <font>
        <b/>
        <i val="0"/>
        <color theme="0"/>
      </font>
      <fill>
        <patternFill>
          <bgColor theme="4"/>
        </patternFill>
      </fill>
      <border>
        <left style="thin">
          <color auto="1"/>
        </left>
        <right style="thin">
          <color auto="1"/>
        </right>
        <top style="thin">
          <color auto="1"/>
        </top>
        <bottom style="thin">
          <color auto="1"/>
        </bottom>
        <vertical/>
        <horizontal/>
      </border>
    </dxf>
    <dxf>
      <font>
        <b/>
        <i val="0"/>
        <color theme="5"/>
      </font>
      <border>
        <left style="thin">
          <color auto="1"/>
        </left>
        <right style="thin">
          <color auto="1"/>
        </right>
        <top style="thin">
          <color auto="1"/>
        </top>
        <bottom style="thin">
          <color auto="1"/>
        </bottom>
        <vertical/>
        <horizontal/>
      </border>
    </dxf>
    <dxf>
      <font>
        <b/>
        <i val="0"/>
        <color theme="5"/>
      </font>
    </dxf>
    <dxf>
      <font>
        <b/>
        <i val="0"/>
        <color theme="5"/>
      </font>
    </dxf>
    <dxf>
      <font>
        <b/>
        <i val="0"/>
        <color theme="5"/>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59996337778862885"/>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bgColor theme="8" tint="0.59996337778862885"/>
        </patternFill>
      </fill>
      <border>
        <left style="thin">
          <color auto="1"/>
        </left>
        <right style="thin">
          <color auto="1"/>
        </right>
        <bottom style="thin">
          <color auto="1"/>
        </bottom>
        <vertical/>
        <horizontal/>
      </border>
    </dxf>
    <dxf>
      <fill>
        <patternFill>
          <bgColor theme="4"/>
        </patternFill>
      </fill>
      <border>
        <top style="thin">
          <color auto="1"/>
        </top>
        <bottom style="thin">
          <color auto="1"/>
        </bottom>
        <vertical/>
        <horizontal/>
      </border>
    </dxf>
    <dxf>
      <font>
        <b/>
        <i val="0"/>
        <color theme="0"/>
      </font>
      <fill>
        <patternFill>
          <bgColor theme="4"/>
        </patternFill>
      </fill>
      <border>
        <left style="thin">
          <color auto="1"/>
        </left>
        <right style="thin">
          <color auto="1"/>
        </right>
        <top style="thin">
          <color auto="1"/>
        </top>
        <bottom style="thin">
          <color auto="1"/>
        </bottom>
        <vertical/>
        <horizontal/>
      </border>
    </dxf>
    <dxf>
      <font>
        <b/>
        <i val="0"/>
        <color theme="0"/>
      </font>
      <fill>
        <patternFill>
          <bgColor theme="4"/>
        </patternFill>
      </fill>
      <border>
        <left style="thin">
          <color auto="1"/>
        </left>
        <right style="thin">
          <color auto="1"/>
        </right>
        <top style="thin">
          <color auto="1"/>
        </top>
        <bottom style="thin">
          <color auto="1"/>
        </bottom>
        <vertical/>
        <horizontal/>
      </border>
    </dxf>
    <dxf>
      <font>
        <b/>
        <i val="0"/>
        <color theme="5"/>
      </font>
      <border>
        <left style="thin">
          <color auto="1"/>
        </left>
        <right style="thin">
          <color auto="1"/>
        </right>
        <top style="thin">
          <color auto="1"/>
        </top>
        <bottom style="thin">
          <color auto="1"/>
        </bottom>
        <vertical/>
        <horizontal/>
      </border>
    </dxf>
    <dxf>
      <font>
        <b/>
        <i val="0"/>
        <color theme="5"/>
      </font>
    </dxf>
    <dxf>
      <font>
        <b/>
        <i val="0"/>
        <color theme="5"/>
      </font>
    </dxf>
    <dxf>
      <font>
        <b/>
        <i val="0"/>
        <color theme="5"/>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59996337778862885"/>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bgColor theme="8" tint="0.59996337778862885"/>
        </patternFill>
      </fill>
      <border>
        <left style="thin">
          <color auto="1"/>
        </left>
        <right style="thin">
          <color auto="1"/>
        </right>
        <bottom style="thin">
          <color auto="1"/>
        </bottom>
        <vertical/>
        <horizontal/>
      </border>
    </dxf>
    <dxf>
      <fill>
        <patternFill>
          <bgColor theme="4"/>
        </patternFill>
      </fill>
      <border>
        <top style="thin">
          <color auto="1"/>
        </top>
        <bottom style="thin">
          <color auto="1"/>
        </bottom>
        <vertical/>
        <horizontal/>
      </border>
    </dxf>
    <dxf>
      <font>
        <b/>
        <i val="0"/>
        <color theme="0"/>
      </font>
      <fill>
        <patternFill>
          <bgColor theme="4"/>
        </patternFill>
      </fill>
      <border>
        <left style="thin">
          <color auto="1"/>
        </left>
        <right style="thin">
          <color auto="1"/>
        </right>
        <top style="thin">
          <color auto="1"/>
        </top>
        <bottom style="thin">
          <color auto="1"/>
        </bottom>
        <vertical/>
        <horizontal/>
      </border>
    </dxf>
    <dxf>
      <font>
        <b/>
        <i val="0"/>
        <color theme="0"/>
      </font>
      <fill>
        <patternFill>
          <bgColor theme="4"/>
        </patternFill>
      </fill>
      <border>
        <left style="thin">
          <color auto="1"/>
        </left>
        <right style="thin">
          <color auto="1"/>
        </right>
        <top style="thin">
          <color auto="1"/>
        </top>
        <bottom style="thin">
          <color auto="1"/>
        </bottom>
        <vertical/>
        <horizontal/>
      </border>
    </dxf>
    <dxf>
      <font>
        <b/>
        <i val="0"/>
        <color theme="5"/>
      </font>
      <border>
        <left style="thin">
          <color auto="1"/>
        </left>
        <right style="thin">
          <color auto="1"/>
        </right>
        <top style="thin">
          <color auto="1"/>
        </top>
        <bottom style="thin">
          <color auto="1"/>
        </bottom>
        <vertical/>
        <horizontal/>
      </border>
    </dxf>
    <dxf>
      <font>
        <b/>
        <i val="0"/>
        <color theme="5"/>
      </font>
      <border>
        <left style="thin">
          <color auto="1"/>
        </left>
        <right style="thin">
          <color auto="1"/>
        </right>
        <top style="thin">
          <color auto="1"/>
        </top>
        <bottom style="thin">
          <color auto="1"/>
        </bottom>
        <vertical/>
        <horizontal/>
      </border>
    </dxf>
    <dxf>
      <font>
        <b/>
        <i val="0"/>
        <color theme="5"/>
      </font>
      <border>
        <left style="thin">
          <color auto="1"/>
        </left>
        <right style="thin">
          <color auto="1"/>
        </right>
        <top style="thin">
          <color auto="1"/>
        </top>
        <bottom style="thin">
          <color auto="1"/>
        </bottom>
        <vertical/>
        <horizontal/>
      </border>
    </dxf>
    <dxf>
      <font>
        <b/>
        <i val="0"/>
        <color theme="5"/>
      </font>
      <border>
        <left style="thin">
          <color auto="1"/>
        </left>
        <right style="thin">
          <color auto="1"/>
        </right>
        <top style="thin">
          <color auto="1"/>
        </top>
        <bottom style="thin">
          <color auto="1"/>
        </bottom>
        <vertical/>
        <horizontal/>
      </border>
    </dxf>
    <dxf>
      <font>
        <b/>
        <i val="0"/>
        <color theme="5"/>
      </font>
      <border>
        <left style="thin">
          <color auto="1"/>
        </left>
        <right style="thin">
          <color auto="1"/>
        </right>
        <top style="thin">
          <color auto="1"/>
        </top>
        <bottom style="thin">
          <color auto="1"/>
        </bottom>
        <vertical/>
        <horizontal/>
      </border>
    </dxf>
    <dxf>
      <font>
        <b/>
        <i val="0"/>
        <color theme="5"/>
      </font>
      <border>
        <left style="thin">
          <color auto="1"/>
        </left>
        <right style="thin">
          <color auto="1"/>
        </right>
        <top style="thin">
          <color auto="1"/>
        </top>
        <bottom style="thin">
          <color auto="1"/>
        </bottom>
        <vertical/>
        <horizontal/>
      </border>
    </dxf>
    <dxf>
      <font>
        <b/>
        <i val="0"/>
        <color theme="5"/>
      </font>
      <border>
        <left style="thin">
          <color auto="1"/>
        </left>
        <right style="thin">
          <color auto="1"/>
        </right>
        <top style="thin">
          <color auto="1"/>
        </top>
        <bottom style="thin">
          <color auto="1"/>
        </bottom>
        <vertical/>
        <horizontal/>
      </border>
    </dxf>
    <dxf>
      <font>
        <b/>
        <i val="0"/>
        <color theme="5"/>
      </font>
      <border>
        <left style="thin">
          <color auto="1"/>
        </left>
        <right style="thin">
          <color auto="1"/>
        </right>
        <top style="thin">
          <color auto="1"/>
        </top>
        <bottom style="thin">
          <color auto="1"/>
        </bottom>
        <vertical/>
        <horizontal/>
      </border>
    </dxf>
    <dxf>
      <font>
        <b/>
        <i val="0"/>
        <color theme="5"/>
      </font>
      <border>
        <left style="thin">
          <color auto="1"/>
        </left>
        <right style="thin">
          <color auto="1"/>
        </right>
        <top style="thin">
          <color auto="1"/>
        </top>
        <bottom style="thin">
          <color auto="1"/>
        </bottom>
        <vertical/>
        <horizontal/>
      </border>
    </dxf>
    <dxf>
      <font>
        <b/>
        <i val="0"/>
        <color theme="5"/>
      </font>
      <border>
        <left style="thin">
          <color auto="1"/>
        </left>
        <right style="thin">
          <color auto="1"/>
        </right>
        <top style="thin">
          <color auto="1"/>
        </top>
        <bottom style="thin">
          <color auto="1"/>
        </bottom>
        <vertical/>
        <horizontal/>
      </border>
    </dxf>
    <dxf>
      <font>
        <b/>
        <i val="0"/>
        <color theme="5"/>
      </font>
    </dxf>
    <dxf>
      <font>
        <b/>
        <i val="0"/>
        <color theme="5"/>
      </font>
    </dxf>
    <dxf>
      <font>
        <b/>
        <i val="0"/>
        <color theme="5"/>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59996337778862885"/>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bgColor theme="8" tint="0.59996337778862885"/>
        </patternFill>
      </fill>
      <border>
        <left style="thin">
          <color auto="1"/>
        </left>
        <right style="thin">
          <color auto="1"/>
        </right>
        <bottom style="thin">
          <color auto="1"/>
        </bottom>
        <vertical/>
        <horizontal/>
      </border>
    </dxf>
    <dxf>
      <fill>
        <patternFill>
          <bgColor theme="4"/>
        </patternFill>
      </fill>
      <border>
        <top style="thin">
          <color auto="1"/>
        </top>
        <bottom style="thin">
          <color auto="1"/>
        </bottom>
        <vertical/>
        <horizontal/>
      </border>
    </dxf>
    <dxf>
      <font>
        <b/>
        <i val="0"/>
        <color theme="0"/>
      </font>
      <fill>
        <patternFill>
          <bgColor theme="4"/>
        </patternFill>
      </fill>
      <border>
        <left style="thin">
          <color auto="1"/>
        </left>
        <right style="thin">
          <color auto="1"/>
        </right>
        <top style="thin">
          <color auto="1"/>
        </top>
        <bottom style="thin">
          <color auto="1"/>
        </bottom>
        <vertical/>
        <horizontal/>
      </border>
    </dxf>
    <dxf>
      <font>
        <b/>
        <i val="0"/>
        <color theme="0"/>
      </font>
      <fill>
        <patternFill>
          <bgColor theme="4"/>
        </patternFill>
      </fill>
      <border>
        <left style="thin">
          <color auto="1"/>
        </left>
        <right style="thin">
          <color auto="1"/>
        </right>
        <top style="thin">
          <color auto="1"/>
        </top>
        <bottom style="thin">
          <color auto="1"/>
        </bottom>
        <vertical/>
        <horizontal/>
      </border>
    </dxf>
    <dxf>
      <font>
        <b/>
        <i val="0"/>
        <color theme="5"/>
      </font>
      <border>
        <left style="thin">
          <color auto="1"/>
        </left>
        <right style="thin">
          <color auto="1"/>
        </right>
        <top style="thin">
          <color auto="1"/>
        </top>
        <bottom style="thin">
          <color auto="1"/>
        </bottom>
        <vertical/>
        <horizontal/>
      </border>
    </dxf>
    <dxf>
      <font>
        <b/>
        <i val="0"/>
        <color theme="5"/>
      </font>
      <border>
        <left style="thin">
          <color auto="1"/>
        </left>
        <right style="thin">
          <color auto="1"/>
        </right>
        <top style="thin">
          <color auto="1"/>
        </top>
        <bottom style="thin">
          <color auto="1"/>
        </bottom>
        <vertical/>
        <horizontal/>
      </border>
    </dxf>
    <dxf>
      <font>
        <b/>
        <i val="0"/>
        <color theme="5"/>
      </font>
      <border>
        <left style="thin">
          <color auto="1"/>
        </left>
        <right style="thin">
          <color auto="1"/>
        </right>
        <top style="thin">
          <color auto="1"/>
        </top>
        <bottom style="thin">
          <color auto="1"/>
        </bottom>
        <vertical/>
        <horizontal/>
      </border>
    </dxf>
    <dxf>
      <font>
        <b/>
        <i val="0"/>
        <color theme="5"/>
      </font>
      <border>
        <left style="thin">
          <color auto="1"/>
        </left>
        <right style="thin">
          <color auto="1"/>
        </right>
        <top style="thin">
          <color auto="1"/>
        </top>
        <bottom style="thin">
          <color auto="1"/>
        </bottom>
        <vertical/>
        <horizontal/>
      </border>
    </dxf>
    <dxf>
      <font>
        <b/>
        <i val="0"/>
        <color theme="5"/>
      </font>
      <border>
        <left style="thin">
          <color auto="1"/>
        </left>
        <right style="thin">
          <color auto="1"/>
        </right>
        <top style="thin">
          <color auto="1"/>
        </top>
        <bottom style="thin">
          <color auto="1"/>
        </bottom>
        <vertical/>
        <horizontal/>
      </border>
    </dxf>
    <dxf>
      <font>
        <b/>
        <i val="0"/>
        <color theme="5"/>
      </font>
      <border>
        <left style="thin">
          <color auto="1"/>
        </left>
        <right style="thin">
          <color auto="1"/>
        </right>
        <top style="thin">
          <color auto="1"/>
        </top>
        <bottom style="thin">
          <color auto="1"/>
        </bottom>
        <vertical/>
        <horizontal/>
      </border>
    </dxf>
    <dxf>
      <font>
        <b/>
        <i val="0"/>
        <color theme="5"/>
      </font>
      <border>
        <left style="thin">
          <color auto="1"/>
        </left>
        <right style="thin">
          <color auto="1"/>
        </right>
        <top style="thin">
          <color auto="1"/>
        </top>
        <bottom style="thin">
          <color auto="1"/>
        </bottom>
        <vertical/>
        <horizontal/>
      </border>
    </dxf>
    <dxf>
      <font>
        <b/>
        <i val="0"/>
        <color theme="5"/>
      </font>
      <border>
        <left style="thin">
          <color auto="1"/>
        </left>
        <right style="thin">
          <color auto="1"/>
        </right>
        <top style="thin">
          <color auto="1"/>
        </top>
        <bottom style="thin">
          <color auto="1"/>
        </bottom>
        <vertical/>
        <horizontal/>
      </border>
    </dxf>
    <dxf>
      <font>
        <b/>
        <i val="0"/>
        <color theme="5"/>
      </font>
      <border>
        <left style="thin">
          <color auto="1"/>
        </left>
        <right style="thin">
          <color auto="1"/>
        </right>
        <top style="thin">
          <color auto="1"/>
        </top>
        <bottom style="thin">
          <color auto="1"/>
        </bottom>
        <vertical/>
        <horizontal/>
      </border>
    </dxf>
    <dxf>
      <font>
        <b/>
        <i val="0"/>
        <color theme="5"/>
      </font>
      <border>
        <left style="thin">
          <color auto="1"/>
        </left>
        <right style="thin">
          <color auto="1"/>
        </right>
        <top style="thin">
          <color auto="1"/>
        </top>
        <bottom style="thin">
          <color auto="1"/>
        </bottom>
        <vertical/>
        <horizontal/>
      </border>
    </dxf>
    <dxf>
      <font>
        <b/>
        <i val="0"/>
        <color theme="5"/>
      </font>
      <border>
        <left style="thin">
          <color auto="1"/>
        </left>
        <right style="thin">
          <color auto="1"/>
        </right>
        <top style="thin">
          <color auto="1"/>
        </top>
        <bottom style="thin">
          <color auto="1"/>
        </bottom>
        <vertical/>
        <horizontal/>
      </border>
    </dxf>
    <dxf>
      <font>
        <b/>
        <i val="0"/>
        <color theme="5"/>
      </font>
      <border>
        <left style="thin">
          <color auto="1"/>
        </left>
        <right style="thin">
          <color auto="1"/>
        </right>
        <top style="thin">
          <color auto="1"/>
        </top>
        <bottom style="thin">
          <color auto="1"/>
        </bottom>
        <vertical/>
        <horizontal/>
      </border>
    </dxf>
    <dxf>
      <font>
        <b/>
        <i val="0"/>
        <color theme="5"/>
      </font>
      <border>
        <left style="thin">
          <color auto="1"/>
        </left>
        <right style="thin">
          <color auto="1"/>
        </right>
        <top style="thin">
          <color auto="1"/>
        </top>
        <bottom style="thin">
          <color auto="1"/>
        </bottom>
        <vertical/>
        <horizontal/>
      </border>
    </dxf>
    <dxf>
      <font>
        <b/>
        <i val="0"/>
        <color theme="5"/>
      </font>
      <border>
        <left style="thin">
          <color auto="1"/>
        </left>
        <right style="thin">
          <color auto="1"/>
        </right>
        <top style="thin">
          <color auto="1"/>
        </top>
        <bottom style="thin">
          <color auto="1"/>
        </bottom>
        <vertical/>
        <horizontal/>
      </border>
    </dxf>
    <dxf>
      <font>
        <b/>
        <i val="0"/>
        <color theme="5"/>
      </font>
      <border>
        <left style="thin">
          <color auto="1"/>
        </left>
        <right style="thin">
          <color auto="1"/>
        </right>
        <top style="thin">
          <color auto="1"/>
        </top>
        <bottom style="thin">
          <color auto="1"/>
        </bottom>
        <vertical/>
        <horizontal/>
      </border>
    </dxf>
    <dxf>
      <font>
        <b/>
        <i val="0"/>
        <color theme="5"/>
      </font>
      <border>
        <left style="thin">
          <color auto="1"/>
        </left>
        <right style="thin">
          <color auto="1"/>
        </right>
        <top style="thin">
          <color auto="1"/>
        </top>
        <bottom style="thin">
          <color auto="1"/>
        </bottom>
        <vertical/>
        <horizontal/>
      </border>
    </dxf>
    <dxf>
      <font>
        <b/>
        <i val="0"/>
        <color theme="5"/>
      </font>
      <border>
        <left style="thin">
          <color auto="1"/>
        </left>
        <right style="thin">
          <color auto="1"/>
        </right>
        <top style="thin">
          <color auto="1"/>
        </top>
        <bottom style="thin">
          <color auto="1"/>
        </bottom>
        <vertical/>
        <horizontal/>
      </border>
    </dxf>
    <dxf>
      <font>
        <b/>
        <i val="0"/>
        <color theme="5"/>
      </font>
      <border>
        <left style="thin">
          <color auto="1"/>
        </left>
        <right style="thin">
          <color auto="1"/>
        </right>
        <top style="thin">
          <color auto="1"/>
        </top>
        <bottom style="thin">
          <color auto="1"/>
        </bottom>
        <vertical/>
        <horizontal/>
      </border>
    </dxf>
    <dxf>
      <fill>
        <patternFill>
          <bgColor theme="4"/>
        </patternFill>
      </fill>
      <border>
        <top style="thin">
          <color auto="1"/>
        </top>
        <bottom style="thin">
          <color auto="1"/>
        </bottom>
        <vertical/>
        <horizontal/>
      </border>
    </dxf>
    <dxf>
      <font>
        <b/>
        <i val="0"/>
        <color theme="5"/>
      </font>
    </dxf>
    <dxf>
      <font>
        <b/>
        <i val="0"/>
        <color theme="5"/>
      </font>
    </dxf>
    <dxf>
      <font>
        <b/>
        <i val="0"/>
        <color theme="5"/>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59996337778862885"/>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bgColor theme="8" tint="0.59996337778862885"/>
        </patternFill>
      </fill>
      <border>
        <left style="thin">
          <color auto="1"/>
        </left>
        <right style="thin">
          <color auto="1"/>
        </right>
        <bottom style="thin">
          <color auto="1"/>
        </bottom>
        <vertical/>
        <horizontal/>
      </border>
    </dxf>
    <dxf>
      <fill>
        <patternFill>
          <bgColor theme="4"/>
        </patternFill>
      </fill>
      <border>
        <top style="thin">
          <color auto="1"/>
        </top>
        <bottom style="thin">
          <color auto="1"/>
        </bottom>
        <vertical/>
        <horizontal/>
      </border>
    </dxf>
    <dxf>
      <font>
        <b/>
        <i val="0"/>
        <color theme="0"/>
      </font>
      <fill>
        <patternFill>
          <bgColor theme="4"/>
        </patternFill>
      </fill>
      <border>
        <left style="thin">
          <color auto="1"/>
        </left>
        <right style="thin">
          <color auto="1"/>
        </right>
        <top style="thin">
          <color auto="1"/>
        </top>
        <bottom style="thin">
          <color auto="1"/>
        </bottom>
        <vertical/>
        <horizontal/>
      </border>
    </dxf>
    <dxf>
      <font>
        <b/>
        <i val="0"/>
        <color theme="0"/>
      </font>
      <fill>
        <patternFill>
          <bgColor theme="4"/>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hyperlink" Target="http://caltrab.com" TargetMode="External"/><Relationship Id="rId2" Type="http://schemas.openxmlformats.org/officeDocument/2006/relationships/image" Target="../media/image1.png"/><Relationship Id="rId1" Type="http://schemas.openxmlformats.org/officeDocument/2006/relationships/hyperlink" Target="http://www.caltrab.com/"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caltrab.com" TargetMode="External"/><Relationship Id="rId2" Type="http://schemas.openxmlformats.org/officeDocument/2006/relationships/image" Target="../media/image1.png"/><Relationship Id="rId1" Type="http://schemas.openxmlformats.org/officeDocument/2006/relationships/hyperlink" Target="http://www.caltrab.com/"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caltrab.com" TargetMode="External"/><Relationship Id="rId2" Type="http://schemas.openxmlformats.org/officeDocument/2006/relationships/image" Target="../media/image1.png"/><Relationship Id="rId1" Type="http://schemas.openxmlformats.org/officeDocument/2006/relationships/hyperlink" Target="http://www.caltrab.com/"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caltrab.com" TargetMode="External"/><Relationship Id="rId2" Type="http://schemas.openxmlformats.org/officeDocument/2006/relationships/image" Target="../media/image1.png"/><Relationship Id="rId1" Type="http://schemas.openxmlformats.org/officeDocument/2006/relationships/hyperlink" Target="http://www.caltrab.com/"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caltrab.com" TargetMode="External"/><Relationship Id="rId2" Type="http://schemas.openxmlformats.org/officeDocument/2006/relationships/image" Target="../media/image1.png"/><Relationship Id="rId1" Type="http://schemas.openxmlformats.org/officeDocument/2006/relationships/hyperlink" Target="http://www.caltrab.com/"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http://caltrab.com" TargetMode="External"/><Relationship Id="rId2" Type="http://schemas.openxmlformats.org/officeDocument/2006/relationships/image" Target="../media/image1.png"/><Relationship Id="rId1" Type="http://schemas.openxmlformats.org/officeDocument/2006/relationships/hyperlink" Target="http://www.caltrab.com/" TargetMode="External"/></Relationships>
</file>

<file path=xl/drawings/_rels/drawing7.xml.rels><?xml version="1.0" encoding="UTF-8" standalone="yes"?>
<Relationships xmlns="http://schemas.openxmlformats.org/package/2006/relationships"><Relationship Id="rId1" Type="http://schemas.openxmlformats.org/officeDocument/2006/relationships/hyperlink" Target="http://caltrab.com" TargetMode="External"/></Relationships>
</file>

<file path=xl/drawings/drawing1.xml><?xml version="1.0" encoding="utf-8"?>
<xdr:wsDr xmlns:xdr="http://schemas.openxmlformats.org/drawingml/2006/spreadsheetDrawing" xmlns:a="http://schemas.openxmlformats.org/drawingml/2006/main">
  <xdr:twoCellAnchor>
    <xdr:from>
      <xdr:col>0</xdr:col>
      <xdr:colOff>9526</xdr:colOff>
      <xdr:row>0</xdr:row>
      <xdr:rowOff>2</xdr:rowOff>
    </xdr:from>
    <xdr:to>
      <xdr:col>2</xdr:col>
      <xdr:colOff>466728</xdr:colOff>
      <xdr:row>3</xdr:row>
      <xdr:rowOff>171454</xdr:rowOff>
    </xdr:to>
    <xdr:sp macro="" textlink="">
      <xdr:nvSpPr>
        <xdr:cNvPr id="5" name="Pentágono 1">
          <a:extLst>
            <a:ext uri="{FF2B5EF4-FFF2-40B4-BE49-F238E27FC236}">
              <a16:creationId xmlns:a16="http://schemas.microsoft.com/office/drawing/2014/main" id="{00000000-0008-0000-0000-000005000000}"/>
            </a:ext>
          </a:extLst>
        </xdr:cNvPr>
        <xdr:cNvSpPr/>
      </xdr:nvSpPr>
      <xdr:spPr>
        <a:xfrm rot="5400000">
          <a:off x="361951" y="-352423"/>
          <a:ext cx="781052" cy="1485902"/>
        </a:xfrm>
        <a:prstGeom prst="homePlate">
          <a:avLst>
            <a:gd name="adj" fmla="val 21582"/>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lstStyle/>
        <a:p>
          <a:endParaRPr lang="pt-BR"/>
        </a:p>
      </xdr:txBody>
    </xdr:sp>
    <xdr:clientData/>
  </xdr:twoCellAnchor>
  <mc:AlternateContent xmlns:mc="http://schemas.openxmlformats.org/markup-compatibility/2006">
    <mc:Choice xmlns:a14="http://schemas.microsoft.com/office/drawing/2010/main" Requires="a14">
      <xdr:twoCellAnchor>
        <xdr:from>
          <xdr:col>22</xdr:col>
          <xdr:colOff>76200</xdr:colOff>
          <xdr:row>33</xdr:row>
          <xdr:rowOff>38100</xdr:rowOff>
        </xdr:from>
        <xdr:to>
          <xdr:col>23</xdr:col>
          <xdr:colOff>438150</xdr:colOff>
          <xdr:row>35</xdr:row>
          <xdr:rowOff>123825</xdr:rowOff>
        </xdr:to>
        <xdr:sp macro="" textlink="">
          <xdr:nvSpPr>
            <xdr:cNvPr id="1031" name="Botão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t-BR" sz="1000" b="1" i="0" u="none" strike="noStrike" baseline="0">
                  <a:solidFill>
                    <a:srgbClr val="000000"/>
                  </a:solidFill>
                  <a:latin typeface="Calibri"/>
                  <a:cs typeface="Calibri"/>
                </a:rPr>
                <a:t>LIMPAR QUADRO DE HORÁRIOS</a:t>
              </a:r>
            </a:p>
          </xdr:txBody>
        </xdr:sp>
        <xdr:clientData fPrintsWithSheet="0"/>
      </xdr:twoCellAnchor>
    </mc:Choice>
    <mc:Fallback/>
  </mc:AlternateContent>
  <xdr:twoCellAnchor editAs="oneCell">
    <xdr:from>
      <xdr:col>0</xdr:col>
      <xdr:colOff>0</xdr:colOff>
      <xdr:row>0</xdr:row>
      <xdr:rowOff>66675</xdr:rowOff>
    </xdr:from>
    <xdr:to>
      <xdr:col>2</xdr:col>
      <xdr:colOff>352425</xdr:colOff>
      <xdr:row>2</xdr:row>
      <xdr:rowOff>142875</xdr:rowOff>
    </xdr:to>
    <xdr:pic>
      <xdr:nvPicPr>
        <xdr:cNvPr id="3" name="Imagem 5">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0" y="66675"/>
          <a:ext cx="1381125" cy="495300"/>
        </a:xfrm>
        <a:prstGeom prst="rect">
          <a:avLst/>
        </a:prstGeom>
        <a:noFill/>
        <a:ln w="9525">
          <a:noFill/>
          <a:miter lim="800000"/>
          <a:headEnd/>
          <a:tailEnd/>
        </a:ln>
      </xdr:spPr>
    </xdr:pic>
    <xdr:clientData/>
  </xdr:twoCellAnchor>
  <xdr:twoCellAnchor>
    <xdr:from>
      <xdr:col>22</xdr:col>
      <xdr:colOff>428625</xdr:colOff>
      <xdr:row>36</xdr:row>
      <xdr:rowOff>219075</xdr:rowOff>
    </xdr:from>
    <xdr:to>
      <xdr:col>23</xdr:col>
      <xdr:colOff>66675</xdr:colOff>
      <xdr:row>38</xdr:row>
      <xdr:rowOff>26459</xdr:rowOff>
    </xdr:to>
    <xdr:sp macro="" textlink="">
      <xdr:nvSpPr>
        <xdr:cNvPr id="6" name="Rounded Rectangle 1">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13525500" y="8515350"/>
          <a:ext cx="1238250" cy="264584"/>
        </a:xfrm>
        <a:prstGeom prst="roundRect">
          <a:avLst>
            <a:gd name="adj" fmla="val 50000"/>
          </a:avLst>
        </a:prstGeom>
        <a:effectLst>
          <a:outerShdw blurRad="63500" sx="101000" sy="101000" algn="ctr" rotWithShape="0">
            <a:schemeClr val="tx1">
              <a:lumMod val="75000"/>
              <a:lumOff val="25000"/>
              <a:alpha val="40000"/>
            </a:scheme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lIns="0" tIns="0" rIns="0" bIns="0" rtlCol="0" anchor="ctr"/>
        <a:lstStyle/>
        <a:p>
          <a:pPr algn="ctr"/>
          <a:r>
            <a:rPr lang="en-US" sz="1000">
              <a:effectLst>
                <a:outerShdw blurRad="50800" dist="38100" dir="5400000" algn="t" rotWithShape="0">
                  <a:schemeClr val="bg1">
                    <a:alpha val="40000"/>
                  </a:schemeClr>
                </a:outerShdw>
              </a:effectLst>
            </a:rPr>
            <a:t>Visite</a:t>
          </a:r>
          <a:r>
            <a:rPr lang="en-US" sz="1000" baseline="0">
              <a:effectLst>
                <a:outerShdw blurRad="50800" dist="38100" dir="5400000" algn="t" rotWithShape="0">
                  <a:schemeClr val="bg1">
                    <a:alpha val="40000"/>
                  </a:schemeClr>
                </a:outerShdw>
              </a:effectLst>
            </a:rPr>
            <a:t> caltrab.com</a:t>
          </a:r>
          <a:endParaRPr lang="en-US" sz="1000">
            <a:effectLst>
              <a:outerShdw blurRad="50800" dist="38100" dir="5400000" algn="t" rotWithShape="0">
                <a:schemeClr val="bg1">
                  <a:alpha val="40000"/>
                </a:scheme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xdr:rowOff>
    </xdr:from>
    <xdr:to>
      <xdr:col>2</xdr:col>
      <xdr:colOff>495302</xdr:colOff>
      <xdr:row>4</xdr:row>
      <xdr:rowOff>4</xdr:rowOff>
    </xdr:to>
    <xdr:sp macro="" textlink="">
      <xdr:nvSpPr>
        <xdr:cNvPr id="4" name="Pentágono 1">
          <a:extLst>
            <a:ext uri="{FF2B5EF4-FFF2-40B4-BE49-F238E27FC236}">
              <a16:creationId xmlns:a16="http://schemas.microsoft.com/office/drawing/2014/main" id="{00000000-0008-0000-0100-000004000000}"/>
            </a:ext>
          </a:extLst>
        </xdr:cNvPr>
        <xdr:cNvSpPr/>
      </xdr:nvSpPr>
      <xdr:spPr>
        <a:xfrm rot="5400000">
          <a:off x="342900" y="-342898"/>
          <a:ext cx="800102" cy="1485902"/>
        </a:xfrm>
        <a:prstGeom prst="homePlate">
          <a:avLst>
            <a:gd name="adj" fmla="val 21582"/>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lstStyle/>
        <a:p>
          <a:endParaRPr lang="pt-BR"/>
        </a:p>
      </xdr:txBody>
    </xdr:sp>
    <xdr:clientData/>
  </xdr:twoCellAnchor>
  <mc:AlternateContent xmlns:mc="http://schemas.openxmlformats.org/markup-compatibility/2006">
    <mc:Choice xmlns:a14="http://schemas.microsoft.com/office/drawing/2010/main" Requires="a14">
      <xdr:twoCellAnchor>
        <xdr:from>
          <xdr:col>22</xdr:col>
          <xdr:colOff>133350</xdr:colOff>
          <xdr:row>33</xdr:row>
          <xdr:rowOff>28575</xdr:rowOff>
        </xdr:from>
        <xdr:to>
          <xdr:col>23</xdr:col>
          <xdr:colOff>495300</xdr:colOff>
          <xdr:row>35</xdr:row>
          <xdr:rowOff>114300</xdr:rowOff>
        </xdr:to>
        <xdr:sp macro="" textlink="">
          <xdr:nvSpPr>
            <xdr:cNvPr id="3076" name="Botão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t-BR" sz="1000" b="1" i="0" u="none" strike="noStrike" baseline="0">
                  <a:solidFill>
                    <a:srgbClr val="000000"/>
                  </a:solidFill>
                  <a:latin typeface="Calibri"/>
                  <a:cs typeface="Calibri"/>
                </a:rPr>
                <a:t>LIMPAR QUADRO DE HORÁRIOS</a:t>
              </a:r>
            </a:p>
          </xdr:txBody>
        </xdr:sp>
        <xdr:clientData fPrintsWithSheet="0"/>
      </xdr:twoCellAnchor>
    </mc:Choice>
    <mc:Fallback/>
  </mc:AlternateContent>
  <xdr:twoCellAnchor editAs="oneCell">
    <xdr:from>
      <xdr:col>0</xdr:col>
      <xdr:colOff>28575</xdr:colOff>
      <xdr:row>0</xdr:row>
      <xdr:rowOff>114300</xdr:rowOff>
    </xdr:from>
    <xdr:to>
      <xdr:col>2</xdr:col>
      <xdr:colOff>371475</xdr:colOff>
      <xdr:row>3</xdr:row>
      <xdr:rowOff>0</xdr:rowOff>
    </xdr:to>
    <xdr:pic>
      <xdr:nvPicPr>
        <xdr:cNvPr id="3" name="Imagem 5">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28575" y="114300"/>
          <a:ext cx="1333500" cy="495300"/>
        </a:xfrm>
        <a:prstGeom prst="rect">
          <a:avLst/>
        </a:prstGeom>
        <a:noFill/>
        <a:ln w="9525">
          <a:noFill/>
          <a:miter lim="800000"/>
          <a:headEnd/>
          <a:tailEnd/>
        </a:ln>
      </xdr:spPr>
    </xdr:pic>
    <xdr:clientData/>
  </xdr:twoCellAnchor>
  <xdr:twoCellAnchor>
    <xdr:from>
      <xdr:col>22</xdr:col>
      <xdr:colOff>419100</xdr:colOff>
      <xdr:row>22</xdr:row>
      <xdr:rowOff>9525</xdr:rowOff>
    </xdr:from>
    <xdr:to>
      <xdr:col>23</xdr:col>
      <xdr:colOff>57150</xdr:colOff>
      <xdr:row>23</xdr:row>
      <xdr:rowOff>45509</xdr:rowOff>
    </xdr:to>
    <xdr:sp macro="" textlink="">
      <xdr:nvSpPr>
        <xdr:cNvPr id="5" name="Rounded Rectangle 1">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13477875" y="5105400"/>
          <a:ext cx="1238250" cy="264584"/>
        </a:xfrm>
        <a:prstGeom prst="roundRect">
          <a:avLst>
            <a:gd name="adj" fmla="val 50000"/>
          </a:avLst>
        </a:prstGeom>
        <a:effectLst>
          <a:outerShdw blurRad="63500" sx="101000" sy="101000" algn="ctr" rotWithShape="0">
            <a:schemeClr val="tx1">
              <a:lumMod val="75000"/>
              <a:lumOff val="25000"/>
              <a:alpha val="40000"/>
            </a:scheme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lIns="0" tIns="0" rIns="0" bIns="0" rtlCol="0" anchor="ctr"/>
        <a:lstStyle/>
        <a:p>
          <a:pPr algn="ctr"/>
          <a:r>
            <a:rPr lang="en-US" sz="1000">
              <a:effectLst>
                <a:outerShdw blurRad="50800" dist="38100" dir="5400000" algn="t" rotWithShape="0">
                  <a:schemeClr val="bg1">
                    <a:alpha val="40000"/>
                  </a:schemeClr>
                </a:outerShdw>
              </a:effectLst>
            </a:rPr>
            <a:t>Visite</a:t>
          </a:r>
          <a:r>
            <a:rPr lang="en-US" sz="1000" baseline="0">
              <a:effectLst>
                <a:outerShdw blurRad="50800" dist="38100" dir="5400000" algn="t" rotWithShape="0">
                  <a:schemeClr val="bg1">
                    <a:alpha val="40000"/>
                  </a:schemeClr>
                </a:outerShdw>
              </a:effectLst>
            </a:rPr>
            <a:t> caltrab.com</a:t>
          </a:r>
          <a:endParaRPr lang="en-US" sz="1000">
            <a:effectLst>
              <a:outerShdw blurRad="50800" dist="38100" dir="5400000" algn="t" rotWithShape="0">
                <a:schemeClr val="bg1">
                  <a:alpha val="40000"/>
                </a:scheme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xdr:rowOff>
    </xdr:from>
    <xdr:to>
      <xdr:col>2</xdr:col>
      <xdr:colOff>495302</xdr:colOff>
      <xdr:row>3</xdr:row>
      <xdr:rowOff>152404</xdr:rowOff>
    </xdr:to>
    <xdr:sp macro="" textlink="">
      <xdr:nvSpPr>
        <xdr:cNvPr id="7" name="Pentágono 1">
          <a:extLst>
            <a:ext uri="{FF2B5EF4-FFF2-40B4-BE49-F238E27FC236}">
              <a16:creationId xmlns:a16="http://schemas.microsoft.com/office/drawing/2014/main" id="{00000000-0008-0000-0200-000007000000}"/>
            </a:ext>
          </a:extLst>
        </xdr:cNvPr>
        <xdr:cNvSpPr/>
      </xdr:nvSpPr>
      <xdr:spPr>
        <a:xfrm rot="5400000">
          <a:off x="361950" y="-361948"/>
          <a:ext cx="762002" cy="1485902"/>
        </a:xfrm>
        <a:prstGeom prst="homePlate">
          <a:avLst>
            <a:gd name="adj" fmla="val 21582"/>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lstStyle/>
        <a:p>
          <a:endParaRPr lang="pt-BR"/>
        </a:p>
      </xdr:txBody>
    </xdr:sp>
    <xdr:clientData/>
  </xdr:twoCellAnchor>
  <mc:AlternateContent xmlns:mc="http://schemas.openxmlformats.org/markup-compatibility/2006">
    <mc:Choice xmlns:a14="http://schemas.microsoft.com/office/drawing/2010/main" Requires="a14">
      <xdr:twoCellAnchor>
        <xdr:from>
          <xdr:col>22</xdr:col>
          <xdr:colOff>85725</xdr:colOff>
          <xdr:row>32</xdr:row>
          <xdr:rowOff>142875</xdr:rowOff>
        </xdr:from>
        <xdr:to>
          <xdr:col>23</xdr:col>
          <xdr:colOff>447675</xdr:colOff>
          <xdr:row>35</xdr:row>
          <xdr:rowOff>66675</xdr:rowOff>
        </xdr:to>
        <xdr:sp macro="" textlink="">
          <xdr:nvSpPr>
            <xdr:cNvPr id="4100" name="Botão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t-BR" sz="1000" b="1" i="0" u="none" strike="noStrike" baseline="0">
                  <a:solidFill>
                    <a:srgbClr val="000000"/>
                  </a:solidFill>
                  <a:latin typeface="Calibri"/>
                  <a:cs typeface="Calibri"/>
                </a:rPr>
                <a:t>LIMPAR QUADRO DE HORÁRIOS</a:t>
              </a:r>
            </a:p>
          </xdr:txBody>
        </xdr:sp>
        <xdr:clientData fPrintsWithSheet="0"/>
      </xdr:twoCellAnchor>
    </mc:Choice>
    <mc:Fallback/>
  </mc:AlternateContent>
  <xdr:twoCellAnchor editAs="oneCell">
    <xdr:from>
      <xdr:col>0</xdr:col>
      <xdr:colOff>47625</xdr:colOff>
      <xdr:row>0</xdr:row>
      <xdr:rowOff>104775</xdr:rowOff>
    </xdr:from>
    <xdr:to>
      <xdr:col>2</xdr:col>
      <xdr:colOff>438150</xdr:colOff>
      <xdr:row>2</xdr:row>
      <xdr:rowOff>180975</xdr:rowOff>
    </xdr:to>
    <xdr:pic>
      <xdr:nvPicPr>
        <xdr:cNvPr id="3" name="Imagem 5">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47625" y="104775"/>
          <a:ext cx="1381125" cy="495300"/>
        </a:xfrm>
        <a:prstGeom prst="rect">
          <a:avLst/>
        </a:prstGeom>
        <a:noFill/>
        <a:ln w="9525">
          <a:noFill/>
          <a:miter lim="800000"/>
          <a:headEnd/>
          <a:tailEnd/>
        </a:ln>
      </xdr:spPr>
    </xdr:pic>
    <xdr:clientData/>
  </xdr:twoCellAnchor>
  <xdr:twoCellAnchor>
    <xdr:from>
      <xdr:col>22</xdr:col>
      <xdr:colOff>419100</xdr:colOff>
      <xdr:row>22</xdr:row>
      <xdr:rowOff>0</xdr:rowOff>
    </xdr:from>
    <xdr:to>
      <xdr:col>23</xdr:col>
      <xdr:colOff>57150</xdr:colOff>
      <xdr:row>23</xdr:row>
      <xdr:rowOff>35984</xdr:rowOff>
    </xdr:to>
    <xdr:sp macro="" textlink="">
      <xdr:nvSpPr>
        <xdr:cNvPr id="8" name="Rounded Rectangle 1">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3477875" y="5095875"/>
          <a:ext cx="1238250" cy="264584"/>
        </a:xfrm>
        <a:prstGeom prst="roundRect">
          <a:avLst>
            <a:gd name="adj" fmla="val 50000"/>
          </a:avLst>
        </a:prstGeom>
        <a:effectLst>
          <a:outerShdw blurRad="63500" sx="101000" sy="101000" algn="ctr" rotWithShape="0">
            <a:schemeClr val="tx1">
              <a:lumMod val="75000"/>
              <a:lumOff val="25000"/>
              <a:alpha val="40000"/>
            </a:scheme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lIns="0" tIns="0" rIns="0" bIns="0" rtlCol="0" anchor="ctr"/>
        <a:lstStyle/>
        <a:p>
          <a:pPr algn="ctr"/>
          <a:r>
            <a:rPr lang="en-US" sz="1000">
              <a:effectLst>
                <a:outerShdw blurRad="50800" dist="38100" dir="5400000" algn="t" rotWithShape="0">
                  <a:schemeClr val="bg1">
                    <a:alpha val="40000"/>
                  </a:schemeClr>
                </a:outerShdw>
              </a:effectLst>
            </a:rPr>
            <a:t>Visite</a:t>
          </a:r>
          <a:r>
            <a:rPr lang="en-US" sz="1000" baseline="0">
              <a:effectLst>
                <a:outerShdw blurRad="50800" dist="38100" dir="5400000" algn="t" rotWithShape="0">
                  <a:schemeClr val="bg1">
                    <a:alpha val="40000"/>
                  </a:schemeClr>
                </a:outerShdw>
              </a:effectLst>
            </a:rPr>
            <a:t> caltrab.com</a:t>
          </a:r>
          <a:endParaRPr lang="en-US" sz="1000">
            <a:effectLst>
              <a:outerShdw blurRad="50800" dist="38100" dir="5400000" algn="t" rotWithShape="0">
                <a:schemeClr val="bg1">
                  <a:alpha val="40000"/>
                </a:schemeClr>
              </a:outerShdw>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xdr:rowOff>
    </xdr:from>
    <xdr:to>
      <xdr:col>2</xdr:col>
      <xdr:colOff>495302</xdr:colOff>
      <xdr:row>3</xdr:row>
      <xdr:rowOff>180978</xdr:rowOff>
    </xdr:to>
    <xdr:sp macro="" textlink="">
      <xdr:nvSpPr>
        <xdr:cNvPr id="4" name="Pentágono 1">
          <a:extLst>
            <a:ext uri="{FF2B5EF4-FFF2-40B4-BE49-F238E27FC236}">
              <a16:creationId xmlns:a16="http://schemas.microsoft.com/office/drawing/2014/main" id="{00000000-0008-0000-0300-000004000000}"/>
            </a:ext>
          </a:extLst>
        </xdr:cNvPr>
        <xdr:cNvSpPr/>
      </xdr:nvSpPr>
      <xdr:spPr>
        <a:xfrm rot="5400000">
          <a:off x="347662" y="-347661"/>
          <a:ext cx="790577" cy="1485902"/>
        </a:xfrm>
        <a:prstGeom prst="homePlate">
          <a:avLst>
            <a:gd name="adj" fmla="val 21582"/>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lstStyle/>
        <a:p>
          <a:endParaRPr lang="pt-BR"/>
        </a:p>
      </xdr:txBody>
    </xdr:sp>
    <xdr:clientData/>
  </xdr:twoCellAnchor>
  <mc:AlternateContent xmlns:mc="http://schemas.openxmlformats.org/markup-compatibility/2006">
    <mc:Choice xmlns:a14="http://schemas.microsoft.com/office/drawing/2010/main" Requires="a14">
      <xdr:twoCellAnchor>
        <xdr:from>
          <xdr:col>22</xdr:col>
          <xdr:colOff>133350</xdr:colOff>
          <xdr:row>33</xdr:row>
          <xdr:rowOff>28575</xdr:rowOff>
        </xdr:from>
        <xdr:to>
          <xdr:col>23</xdr:col>
          <xdr:colOff>495300</xdr:colOff>
          <xdr:row>35</xdr:row>
          <xdr:rowOff>114300</xdr:rowOff>
        </xdr:to>
        <xdr:sp macro="" textlink="">
          <xdr:nvSpPr>
            <xdr:cNvPr id="5124" name="Botão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t-BR" sz="1000" b="1" i="0" u="none" strike="noStrike" baseline="0">
                  <a:solidFill>
                    <a:srgbClr val="000000"/>
                  </a:solidFill>
                  <a:latin typeface="Calibri"/>
                  <a:cs typeface="Calibri"/>
                </a:rPr>
                <a:t>LIMPAR QUADRO DE HORÁRIOS</a:t>
              </a:r>
            </a:p>
          </xdr:txBody>
        </xdr:sp>
        <xdr:clientData fPrintsWithSheet="0"/>
      </xdr:twoCellAnchor>
    </mc:Choice>
    <mc:Fallback/>
  </mc:AlternateContent>
  <xdr:twoCellAnchor editAs="oneCell">
    <xdr:from>
      <xdr:col>0</xdr:col>
      <xdr:colOff>47625</xdr:colOff>
      <xdr:row>0</xdr:row>
      <xdr:rowOff>123825</xdr:rowOff>
    </xdr:from>
    <xdr:to>
      <xdr:col>2</xdr:col>
      <xdr:colOff>438150</xdr:colOff>
      <xdr:row>3</xdr:row>
      <xdr:rowOff>9525</xdr:rowOff>
    </xdr:to>
    <xdr:pic>
      <xdr:nvPicPr>
        <xdr:cNvPr id="3" name="Imagem 5">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47625" y="123825"/>
          <a:ext cx="1381125" cy="495300"/>
        </a:xfrm>
        <a:prstGeom prst="rect">
          <a:avLst/>
        </a:prstGeom>
        <a:noFill/>
        <a:ln w="9525">
          <a:noFill/>
          <a:miter lim="800000"/>
          <a:headEnd/>
          <a:tailEnd/>
        </a:ln>
      </xdr:spPr>
    </xdr:pic>
    <xdr:clientData/>
  </xdr:twoCellAnchor>
  <xdr:twoCellAnchor>
    <xdr:from>
      <xdr:col>22</xdr:col>
      <xdr:colOff>523875</xdr:colOff>
      <xdr:row>22</xdr:row>
      <xdr:rowOff>0</xdr:rowOff>
    </xdr:from>
    <xdr:to>
      <xdr:col>23</xdr:col>
      <xdr:colOff>161925</xdr:colOff>
      <xdr:row>23</xdr:row>
      <xdr:rowOff>35984</xdr:rowOff>
    </xdr:to>
    <xdr:sp macro="" textlink="">
      <xdr:nvSpPr>
        <xdr:cNvPr id="5" name="Rounded Rectangle 1">
          <a:hlinkClick xmlns:r="http://schemas.openxmlformats.org/officeDocument/2006/relationships" r:id="rId3"/>
          <a:extLst>
            <a:ext uri="{FF2B5EF4-FFF2-40B4-BE49-F238E27FC236}">
              <a16:creationId xmlns:a16="http://schemas.microsoft.com/office/drawing/2014/main" id="{00000000-0008-0000-0300-000005000000}"/>
            </a:ext>
          </a:extLst>
        </xdr:cNvPr>
        <xdr:cNvSpPr/>
      </xdr:nvSpPr>
      <xdr:spPr>
        <a:xfrm>
          <a:off x="13582650" y="5095875"/>
          <a:ext cx="1238250" cy="264584"/>
        </a:xfrm>
        <a:prstGeom prst="roundRect">
          <a:avLst>
            <a:gd name="adj" fmla="val 50000"/>
          </a:avLst>
        </a:prstGeom>
        <a:effectLst>
          <a:outerShdw blurRad="63500" sx="101000" sy="101000" algn="ctr" rotWithShape="0">
            <a:schemeClr val="tx1">
              <a:lumMod val="75000"/>
              <a:lumOff val="25000"/>
              <a:alpha val="40000"/>
            </a:scheme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lIns="0" tIns="0" rIns="0" bIns="0" rtlCol="0" anchor="ctr"/>
        <a:lstStyle/>
        <a:p>
          <a:pPr algn="ctr"/>
          <a:r>
            <a:rPr lang="en-US" sz="1000">
              <a:effectLst>
                <a:outerShdw blurRad="50800" dist="38100" dir="5400000" algn="t" rotWithShape="0">
                  <a:schemeClr val="bg1">
                    <a:alpha val="40000"/>
                  </a:schemeClr>
                </a:outerShdw>
              </a:effectLst>
            </a:rPr>
            <a:t>Visite</a:t>
          </a:r>
          <a:r>
            <a:rPr lang="en-US" sz="1000" baseline="0">
              <a:effectLst>
                <a:outerShdw blurRad="50800" dist="38100" dir="5400000" algn="t" rotWithShape="0">
                  <a:schemeClr val="bg1">
                    <a:alpha val="40000"/>
                  </a:schemeClr>
                </a:outerShdw>
              </a:effectLst>
            </a:rPr>
            <a:t> caltrab.com</a:t>
          </a:r>
          <a:endParaRPr lang="en-US" sz="1000">
            <a:effectLst>
              <a:outerShdw blurRad="50800" dist="38100" dir="5400000" algn="t" rotWithShape="0">
                <a:schemeClr val="bg1">
                  <a:alpha val="40000"/>
                </a:schemeClr>
              </a:outerShdw>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2</xdr:rowOff>
    </xdr:from>
    <xdr:to>
      <xdr:col>2</xdr:col>
      <xdr:colOff>495302</xdr:colOff>
      <xdr:row>3</xdr:row>
      <xdr:rowOff>171450</xdr:rowOff>
    </xdr:to>
    <xdr:sp macro="" textlink="">
      <xdr:nvSpPr>
        <xdr:cNvPr id="5" name="Pentágono 1">
          <a:extLst>
            <a:ext uri="{FF2B5EF4-FFF2-40B4-BE49-F238E27FC236}">
              <a16:creationId xmlns:a16="http://schemas.microsoft.com/office/drawing/2014/main" id="{00000000-0008-0000-0400-000005000000}"/>
            </a:ext>
          </a:extLst>
        </xdr:cNvPr>
        <xdr:cNvSpPr/>
      </xdr:nvSpPr>
      <xdr:spPr>
        <a:xfrm rot="5400000">
          <a:off x="352427" y="-352425"/>
          <a:ext cx="781048" cy="1485902"/>
        </a:xfrm>
        <a:prstGeom prst="homePlate">
          <a:avLst>
            <a:gd name="adj" fmla="val 21582"/>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lstStyle/>
        <a:p>
          <a:endParaRPr lang="pt-BR"/>
        </a:p>
      </xdr:txBody>
    </xdr:sp>
    <xdr:clientData/>
  </xdr:twoCellAnchor>
  <mc:AlternateContent xmlns:mc="http://schemas.openxmlformats.org/markup-compatibility/2006">
    <mc:Choice xmlns:a14="http://schemas.microsoft.com/office/drawing/2010/main" Requires="a14">
      <xdr:twoCellAnchor>
        <xdr:from>
          <xdr:col>22</xdr:col>
          <xdr:colOff>133350</xdr:colOff>
          <xdr:row>33</xdr:row>
          <xdr:rowOff>28575</xdr:rowOff>
        </xdr:from>
        <xdr:to>
          <xdr:col>23</xdr:col>
          <xdr:colOff>495300</xdr:colOff>
          <xdr:row>35</xdr:row>
          <xdr:rowOff>114300</xdr:rowOff>
        </xdr:to>
        <xdr:sp macro="" textlink="">
          <xdr:nvSpPr>
            <xdr:cNvPr id="6148" name="Botão 4"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t-BR" sz="1000" b="1" i="0" u="none" strike="noStrike" baseline="0">
                  <a:solidFill>
                    <a:srgbClr val="000000"/>
                  </a:solidFill>
                  <a:latin typeface="Calibri"/>
                  <a:cs typeface="Calibri"/>
                </a:rPr>
                <a:t>LIMPAR QUADRO DE HORÁRIOS</a:t>
              </a:r>
            </a:p>
          </xdr:txBody>
        </xdr:sp>
        <xdr:clientData fPrintsWithSheet="0"/>
      </xdr:twoCellAnchor>
    </mc:Choice>
    <mc:Fallback/>
  </mc:AlternateContent>
  <xdr:twoCellAnchor editAs="oneCell">
    <xdr:from>
      <xdr:col>0</xdr:col>
      <xdr:colOff>57150</xdr:colOff>
      <xdr:row>0</xdr:row>
      <xdr:rowOff>85725</xdr:rowOff>
    </xdr:from>
    <xdr:to>
      <xdr:col>2</xdr:col>
      <xdr:colOff>409575</xdr:colOff>
      <xdr:row>2</xdr:row>
      <xdr:rowOff>161925</xdr:rowOff>
    </xdr:to>
    <xdr:pic>
      <xdr:nvPicPr>
        <xdr:cNvPr id="3" name="Imagem 5">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85725"/>
          <a:ext cx="1343025" cy="495300"/>
        </a:xfrm>
        <a:prstGeom prst="rect">
          <a:avLst/>
        </a:prstGeom>
        <a:noFill/>
        <a:ln w="9525">
          <a:noFill/>
          <a:miter lim="800000"/>
          <a:headEnd/>
          <a:tailEnd/>
        </a:ln>
      </xdr:spPr>
    </xdr:pic>
    <xdr:clientData/>
  </xdr:twoCellAnchor>
  <xdr:twoCellAnchor>
    <xdr:from>
      <xdr:col>22</xdr:col>
      <xdr:colOff>361950</xdr:colOff>
      <xdr:row>22</xdr:row>
      <xdr:rowOff>0</xdr:rowOff>
    </xdr:from>
    <xdr:to>
      <xdr:col>23</xdr:col>
      <xdr:colOff>0</xdr:colOff>
      <xdr:row>23</xdr:row>
      <xdr:rowOff>35984</xdr:rowOff>
    </xdr:to>
    <xdr:sp macro="" textlink="">
      <xdr:nvSpPr>
        <xdr:cNvPr id="6" name="Rounded Rectangle 1">
          <a:hlinkClick xmlns:r="http://schemas.openxmlformats.org/officeDocument/2006/relationships" r:id="rId3"/>
          <a:extLst>
            <a:ext uri="{FF2B5EF4-FFF2-40B4-BE49-F238E27FC236}">
              <a16:creationId xmlns:a16="http://schemas.microsoft.com/office/drawing/2014/main" id="{00000000-0008-0000-0400-000006000000}"/>
            </a:ext>
          </a:extLst>
        </xdr:cNvPr>
        <xdr:cNvSpPr/>
      </xdr:nvSpPr>
      <xdr:spPr>
        <a:xfrm>
          <a:off x="13420725" y="5095875"/>
          <a:ext cx="1238250" cy="264584"/>
        </a:xfrm>
        <a:prstGeom prst="roundRect">
          <a:avLst>
            <a:gd name="adj" fmla="val 50000"/>
          </a:avLst>
        </a:prstGeom>
        <a:effectLst>
          <a:outerShdw blurRad="63500" sx="101000" sy="101000" algn="ctr" rotWithShape="0">
            <a:schemeClr val="tx1">
              <a:lumMod val="75000"/>
              <a:lumOff val="25000"/>
              <a:alpha val="40000"/>
            </a:scheme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lIns="0" tIns="0" rIns="0" bIns="0" rtlCol="0" anchor="ctr"/>
        <a:lstStyle/>
        <a:p>
          <a:pPr algn="ctr"/>
          <a:r>
            <a:rPr lang="en-US" sz="1000">
              <a:effectLst>
                <a:outerShdw blurRad="50800" dist="38100" dir="5400000" algn="t" rotWithShape="0">
                  <a:schemeClr val="bg1">
                    <a:alpha val="40000"/>
                  </a:schemeClr>
                </a:outerShdw>
              </a:effectLst>
            </a:rPr>
            <a:t>Visite</a:t>
          </a:r>
          <a:r>
            <a:rPr lang="en-US" sz="1000" baseline="0">
              <a:effectLst>
                <a:outerShdw blurRad="50800" dist="38100" dir="5400000" algn="t" rotWithShape="0">
                  <a:schemeClr val="bg1">
                    <a:alpha val="40000"/>
                  </a:schemeClr>
                </a:outerShdw>
              </a:effectLst>
            </a:rPr>
            <a:t> caltrab.com</a:t>
          </a:r>
          <a:endParaRPr lang="en-US" sz="1000">
            <a:effectLst>
              <a:outerShdw blurRad="50800" dist="38100" dir="5400000" algn="t" rotWithShape="0">
                <a:schemeClr val="bg1">
                  <a:alpha val="40000"/>
                </a:schemeClr>
              </a:outerShdw>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2</xdr:rowOff>
    </xdr:from>
    <xdr:to>
      <xdr:col>2</xdr:col>
      <xdr:colOff>495302</xdr:colOff>
      <xdr:row>4</xdr:row>
      <xdr:rowOff>4</xdr:rowOff>
    </xdr:to>
    <xdr:sp macro="" textlink="">
      <xdr:nvSpPr>
        <xdr:cNvPr id="4" name="Pentágono 1">
          <a:extLst>
            <a:ext uri="{FF2B5EF4-FFF2-40B4-BE49-F238E27FC236}">
              <a16:creationId xmlns:a16="http://schemas.microsoft.com/office/drawing/2014/main" id="{00000000-0008-0000-0500-000004000000}"/>
            </a:ext>
          </a:extLst>
        </xdr:cNvPr>
        <xdr:cNvSpPr/>
      </xdr:nvSpPr>
      <xdr:spPr>
        <a:xfrm rot="5400000">
          <a:off x="342900" y="-342898"/>
          <a:ext cx="800102" cy="1485902"/>
        </a:xfrm>
        <a:prstGeom prst="homePlate">
          <a:avLst>
            <a:gd name="adj" fmla="val 21582"/>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lstStyle/>
        <a:p>
          <a:endParaRPr lang="pt-BR"/>
        </a:p>
      </xdr:txBody>
    </xdr:sp>
    <xdr:clientData/>
  </xdr:twoCellAnchor>
  <mc:AlternateContent xmlns:mc="http://schemas.openxmlformats.org/markup-compatibility/2006">
    <mc:Choice xmlns:a14="http://schemas.microsoft.com/office/drawing/2010/main" Requires="a14">
      <xdr:twoCellAnchor>
        <xdr:from>
          <xdr:col>22</xdr:col>
          <xdr:colOff>133350</xdr:colOff>
          <xdr:row>33</xdr:row>
          <xdr:rowOff>28575</xdr:rowOff>
        </xdr:from>
        <xdr:to>
          <xdr:col>23</xdr:col>
          <xdr:colOff>495300</xdr:colOff>
          <xdr:row>35</xdr:row>
          <xdr:rowOff>114300</xdr:rowOff>
        </xdr:to>
        <xdr:sp macro="" textlink="">
          <xdr:nvSpPr>
            <xdr:cNvPr id="7172" name="Botão 4" hidden="1">
              <a:extLst>
                <a:ext uri="{63B3BB69-23CF-44E3-9099-C40C66FF867C}">
                  <a14:compatExt spid="_x0000_s7172"/>
                </a:ext>
                <a:ext uri="{FF2B5EF4-FFF2-40B4-BE49-F238E27FC236}">
                  <a16:creationId xmlns:a16="http://schemas.microsoft.com/office/drawing/2014/main" id="{00000000-0008-0000-0500-0000041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t-BR" sz="1000" b="1" i="0" u="none" strike="noStrike" baseline="0">
                  <a:solidFill>
                    <a:srgbClr val="000000"/>
                  </a:solidFill>
                  <a:latin typeface="Calibri"/>
                  <a:cs typeface="Calibri"/>
                </a:rPr>
                <a:t>LIMPAR QUADRO DE HORÁRIOS</a:t>
              </a:r>
            </a:p>
          </xdr:txBody>
        </xdr:sp>
        <xdr:clientData fPrintsWithSheet="0"/>
      </xdr:twoCellAnchor>
    </mc:Choice>
    <mc:Fallback/>
  </mc:AlternateContent>
  <xdr:twoCellAnchor editAs="oneCell">
    <xdr:from>
      <xdr:col>0</xdr:col>
      <xdr:colOff>47625</xdr:colOff>
      <xdr:row>0</xdr:row>
      <xdr:rowOff>104775</xdr:rowOff>
    </xdr:from>
    <xdr:to>
      <xdr:col>2</xdr:col>
      <xdr:colOff>428625</xdr:colOff>
      <xdr:row>2</xdr:row>
      <xdr:rowOff>180975</xdr:rowOff>
    </xdr:to>
    <xdr:pic>
      <xdr:nvPicPr>
        <xdr:cNvPr id="3" name="Imagem 5">
          <a:hlinkClick xmlns:r="http://schemas.openxmlformats.org/officeDocument/2006/relationships" r:id="r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47625" y="104775"/>
          <a:ext cx="1371600" cy="495300"/>
        </a:xfrm>
        <a:prstGeom prst="rect">
          <a:avLst/>
        </a:prstGeom>
        <a:noFill/>
        <a:ln w="9525">
          <a:noFill/>
          <a:miter lim="800000"/>
          <a:headEnd/>
          <a:tailEnd/>
        </a:ln>
      </xdr:spPr>
    </xdr:pic>
    <xdr:clientData/>
  </xdr:twoCellAnchor>
  <xdr:twoCellAnchor>
    <xdr:from>
      <xdr:col>22</xdr:col>
      <xdr:colOff>390525</xdr:colOff>
      <xdr:row>22</xdr:row>
      <xdr:rowOff>0</xdr:rowOff>
    </xdr:from>
    <xdr:to>
      <xdr:col>23</xdr:col>
      <xdr:colOff>28575</xdr:colOff>
      <xdr:row>23</xdr:row>
      <xdr:rowOff>35984</xdr:rowOff>
    </xdr:to>
    <xdr:sp macro="" textlink="">
      <xdr:nvSpPr>
        <xdr:cNvPr id="6" name="Rounded Rectangle 1">
          <a:hlinkClick xmlns:r="http://schemas.openxmlformats.org/officeDocument/2006/relationships" r:id="rId3"/>
          <a:extLst>
            <a:ext uri="{FF2B5EF4-FFF2-40B4-BE49-F238E27FC236}">
              <a16:creationId xmlns:a16="http://schemas.microsoft.com/office/drawing/2014/main" id="{00000000-0008-0000-0500-000006000000}"/>
            </a:ext>
          </a:extLst>
        </xdr:cNvPr>
        <xdr:cNvSpPr/>
      </xdr:nvSpPr>
      <xdr:spPr>
        <a:xfrm>
          <a:off x="13449300" y="5095875"/>
          <a:ext cx="1238250" cy="264584"/>
        </a:xfrm>
        <a:prstGeom prst="roundRect">
          <a:avLst>
            <a:gd name="adj" fmla="val 50000"/>
          </a:avLst>
        </a:prstGeom>
        <a:effectLst>
          <a:outerShdw blurRad="63500" sx="101000" sy="101000" algn="ctr" rotWithShape="0">
            <a:schemeClr val="tx1">
              <a:lumMod val="75000"/>
              <a:lumOff val="25000"/>
              <a:alpha val="40000"/>
            </a:scheme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lIns="0" tIns="0" rIns="0" bIns="0" rtlCol="0" anchor="ctr"/>
        <a:lstStyle/>
        <a:p>
          <a:pPr algn="ctr"/>
          <a:r>
            <a:rPr lang="en-US" sz="1000">
              <a:effectLst>
                <a:outerShdw blurRad="50800" dist="38100" dir="5400000" algn="t" rotWithShape="0">
                  <a:schemeClr val="bg1">
                    <a:alpha val="40000"/>
                  </a:schemeClr>
                </a:outerShdw>
              </a:effectLst>
            </a:rPr>
            <a:t>Visite</a:t>
          </a:r>
          <a:r>
            <a:rPr lang="en-US" sz="1000" baseline="0">
              <a:effectLst>
                <a:outerShdw blurRad="50800" dist="38100" dir="5400000" algn="t" rotWithShape="0">
                  <a:schemeClr val="bg1">
                    <a:alpha val="40000"/>
                  </a:schemeClr>
                </a:outerShdw>
              </a:effectLst>
            </a:rPr>
            <a:t> caltrab.com</a:t>
          </a:r>
          <a:endParaRPr lang="en-US" sz="1000">
            <a:effectLst>
              <a:outerShdw blurRad="50800" dist="38100" dir="5400000" algn="t" rotWithShape="0">
                <a:schemeClr val="bg1">
                  <a:alpha val="40000"/>
                </a:schemeClr>
              </a:outerShdw>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9525</xdr:colOff>
      <xdr:row>3</xdr:row>
      <xdr:rowOff>0</xdr:rowOff>
    </xdr:from>
    <xdr:to>
      <xdr:col>11</xdr:col>
      <xdr:colOff>133350</xdr:colOff>
      <xdr:row>10</xdr:row>
      <xdr:rowOff>123825</xdr:rowOff>
    </xdr:to>
    <xdr:sp macro="" textlink="">
      <xdr:nvSpPr>
        <xdr:cNvPr id="2" name="Texto explicativo retangular 1">
          <a:extLst>
            <a:ext uri="{FF2B5EF4-FFF2-40B4-BE49-F238E27FC236}">
              <a16:creationId xmlns:a16="http://schemas.microsoft.com/office/drawing/2014/main" id="{00000000-0008-0000-0600-000002000000}"/>
            </a:ext>
          </a:extLst>
        </xdr:cNvPr>
        <xdr:cNvSpPr/>
      </xdr:nvSpPr>
      <xdr:spPr>
        <a:xfrm>
          <a:off x="4953000" y="742950"/>
          <a:ext cx="3390900" cy="1685925"/>
        </a:xfrm>
        <a:prstGeom prst="wedgeRectCallout">
          <a:avLst>
            <a:gd name="adj1" fmla="val -26854"/>
            <a:gd name="adj2" fmla="val 1076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100"/>
            <a:t>Para que</a:t>
          </a:r>
          <a:r>
            <a:rPr lang="pt-BR" sz="1100" baseline="0"/>
            <a:t> a planilha não considere o feriado, basta deletar o "X"  na célula correspondente da coluna B.</a:t>
          </a:r>
        </a:p>
        <a:p>
          <a:pPr algn="l"/>
          <a:endParaRPr lang="pt-BR" sz="1100" baseline="0"/>
        </a:p>
        <a:p>
          <a:pPr algn="l"/>
          <a:r>
            <a:rPr lang="pt-BR" sz="1100" baseline="0"/>
            <a:t>Quanto aos feriados fixos municipais e estadual, digite x na coluna B , informe o dia na coluna E e o mês na coluna F. Caso o "x" não esteja marcado, os valores selecionados em E16, E17, E18, E19, F16, F17, F18 e F19 não irão interferir no cálculo dos feriados.</a:t>
          </a:r>
          <a:endParaRPr lang="pt-BR" sz="1100"/>
        </a:p>
      </xdr:txBody>
    </xdr:sp>
    <xdr:clientData/>
  </xdr:twoCellAnchor>
  <xdr:twoCellAnchor>
    <xdr:from>
      <xdr:col>6</xdr:col>
      <xdr:colOff>0</xdr:colOff>
      <xdr:row>1</xdr:row>
      <xdr:rowOff>0</xdr:rowOff>
    </xdr:from>
    <xdr:to>
      <xdr:col>7</xdr:col>
      <xdr:colOff>409575</xdr:colOff>
      <xdr:row>2</xdr:row>
      <xdr:rowOff>16934</xdr:rowOff>
    </xdr:to>
    <xdr:sp macro="" textlink="">
      <xdr:nvSpPr>
        <xdr:cNvPr id="3" name="Rounded Rectangle 1">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4819650" y="247650"/>
          <a:ext cx="1238250" cy="264584"/>
        </a:xfrm>
        <a:prstGeom prst="roundRect">
          <a:avLst>
            <a:gd name="adj" fmla="val 50000"/>
          </a:avLst>
        </a:prstGeom>
        <a:effectLst>
          <a:outerShdw blurRad="63500" sx="101000" sy="101000" algn="ctr" rotWithShape="0">
            <a:schemeClr val="tx1">
              <a:lumMod val="75000"/>
              <a:lumOff val="25000"/>
              <a:alpha val="40000"/>
            </a:scheme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lIns="0" tIns="0" rIns="0" bIns="0" rtlCol="0" anchor="ctr"/>
        <a:lstStyle/>
        <a:p>
          <a:pPr algn="ctr"/>
          <a:r>
            <a:rPr lang="en-US" sz="1000">
              <a:effectLst>
                <a:outerShdw blurRad="50800" dist="38100" dir="5400000" algn="t" rotWithShape="0">
                  <a:schemeClr val="bg1">
                    <a:alpha val="40000"/>
                  </a:schemeClr>
                </a:outerShdw>
              </a:effectLst>
            </a:rPr>
            <a:t>Visite</a:t>
          </a:r>
          <a:r>
            <a:rPr lang="en-US" sz="1000" baseline="0">
              <a:effectLst>
                <a:outerShdw blurRad="50800" dist="38100" dir="5400000" algn="t" rotWithShape="0">
                  <a:schemeClr val="bg1">
                    <a:alpha val="40000"/>
                  </a:schemeClr>
                </a:outerShdw>
              </a:effectLst>
            </a:rPr>
            <a:t> caltrab.com</a:t>
          </a:r>
          <a:endParaRPr lang="en-US" sz="1000">
            <a:effectLst>
              <a:outerShdw blurRad="50800" dist="38100" dir="5400000" algn="t" rotWithShape="0">
                <a:schemeClr val="bg1">
                  <a:alpha val="40000"/>
                </a:schemeClr>
              </a:outerShdw>
            </a:effectLst>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4.xml"/><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5.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omments" Target="../comments6.xml"/><Relationship Id="rId4"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tabColor theme="6"/>
  </sheetPr>
  <dimension ref="A1:AF151"/>
  <sheetViews>
    <sheetView showGridLines="0" tabSelected="1" zoomScaleNormal="100" workbookViewId="0">
      <selection activeCell="G2" sqref="G2"/>
    </sheetView>
  </sheetViews>
  <sheetFormatPr defaultRowHeight="12.75" x14ac:dyDescent="0.2"/>
  <cols>
    <col min="1" max="1" width="2.7109375" customWidth="1"/>
    <col min="2" max="2" width="12.7109375" customWidth="1"/>
    <col min="3" max="3" width="12.42578125" customWidth="1"/>
    <col min="4" max="4" width="6.85546875" customWidth="1"/>
    <col min="5" max="5" width="9.42578125" customWidth="1"/>
    <col min="6" max="7" width="9.42578125" bestFit="1" customWidth="1"/>
    <col min="8" max="8" width="10.140625" bestFit="1" customWidth="1"/>
    <col min="9" max="10" width="10.140625" customWidth="1"/>
    <col min="11" max="14" width="9.42578125" customWidth="1"/>
    <col min="15" max="17" width="11.28515625" customWidth="1"/>
    <col min="18" max="18" width="9.28515625" customWidth="1"/>
    <col min="19" max="19" width="11.28515625" customWidth="1"/>
    <col min="21" max="22" width="0.85546875" customWidth="1"/>
    <col min="23" max="23" width="24" customWidth="1"/>
    <col min="24" max="24" width="8.42578125" customWidth="1"/>
    <col min="25" max="25" width="6.7109375" customWidth="1"/>
    <col min="26" max="31" width="9.7109375" customWidth="1"/>
    <col min="32" max="32" width="26.85546875" customWidth="1"/>
  </cols>
  <sheetData>
    <row r="1" spans="1:32" ht="18" customHeight="1" x14ac:dyDescent="0.2">
      <c r="E1" s="182" t="str">
        <f>CHOOSE(MONTH($W$117),"Janeiro","Fevereiro","Março","Abril","Maio","Junho","Julho","Agosto","Setembro","Outubro","Novembro","Dezembro")</f>
        <v>Outubro</v>
      </c>
      <c r="F1" s="69"/>
      <c r="H1" s="178"/>
      <c r="I1" s="178"/>
      <c r="J1" s="178"/>
    </row>
    <row r="2" spans="1:32" ht="15" customHeight="1" x14ac:dyDescent="0.2">
      <c r="D2" s="110"/>
      <c r="E2" s="121"/>
      <c r="F2" s="172"/>
      <c r="H2" s="203"/>
      <c r="I2" s="179"/>
      <c r="J2" s="179"/>
      <c r="L2" s="2"/>
      <c r="S2" s="205"/>
      <c r="Z2" s="137"/>
      <c r="AA2" s="84"/>
      <c r="AB2" s="84"/>
      <c r="AC2" s="84"/>
      <c r="AD2" s="84"/>
    </row>
    <row r="3" spans="1:32" ht="15" customHeight="1" x14ac:dyDescent="0.2">
      <c r="D3" s="110"/>
      <c r="E3" s="121"/>
      <c r="F3" s="172"/>
      <c r="H3" s="204"/>
      <c r="I3" s="180"/>
      <c r="J3" s="180"/>
      <c r="L3" s="3"/>
      <c r="M3" s="72"/>
      <c r="S3" s="205"/>
      <c r="Z3" s="84"/>
      <c r="AA3" s="84"/>
      <c r="AB3" s="84"/>
      <c r="AC3" s="189"/>
      <c r="AD3" s="84"/>
    </row>
    <row r="4" spans="1:32" ht="15" customHeight="1" x14ac:dyDescent="0.2">
      <c r="D4" s="6"/>
      <c r="S4" s="205"/>
      <c r="AA4" s="146"/>
      <c r="AB4" s="146"/>
      <c r="AC4" s="146"/>
      <c r="AD4" s="84"/>
    </row>
    <row r="5" spans="1:32" ht="24.95" customHeight="1" x14ac:dyDescent="0.2">
      <c r="B5" s="207" t="s">
        <v>80</v>
      </c>
      <c r="C5" s="208"/>
      <c r="D5" s="190" t="s">
        <v>81</v>
      </c>
      <c r="E5" s="191"/>
      <c r="F5" s="192"/>
      <c r="G5" s="144"/>
      <c r="H5" s="145"/>
      <c r="I5" s="186" t="s">
        <v>85</v>
      </c>
      <c r="J5" s="193"/>
      <c r="K5" s="144"/>
      <c r="L5" s="144"/>
      <c r="M5" s="144"/>
      <c r="N5" s="145"/>
      <c r="O5" s="194" t="s">
        <v>86</v>
      </c>
      <c r="P5" s="193"/>
      <c r="Q5" s="144"/>
      <c r="R5" s="144"/>
      <c r="S5" s="144"/>
      <c r="T5" s="145"/>
      <c r="W5" s="213" t="s">
        <v>13</v>
      </c>
      <c r="X5" s="214"/>
      <c r="Z5" s="146"/>
      <c r="AA5" s="146"/>
      <c r="AB5" s="146"/>
      <c r="AC5" s="146"/>
    </row>
    <row r="6" spans="1:32" ht="25.5" customHeight="1" x14ac:dyDescent="0.2">
      <c r="B6" s="74" t="s">
        <v>1</v>
      </c>
      <c r="C6" s="74" t="s">
        <v>2</v>
      </c>
      <c r="D6" s="74" t="s">
        <v>3</v>
      </c>
      <c r="E6" s="74" t="s">
        <v>4</v>
      </c>
      <c r="F6" s="74" t="s">
        <v>5</v>
      </c>
      <c r="G6" s="74" t="s">
        <v>4</v>
      </c>
      <c r="H6" s="74" t="s">
        <v>5</v>
      </c>
      <c r="I6" s="74" t="s">
        <v>4</v>
      </c>
      <c r="J6" s="74" t="s">
        <v>5</v>
      </c>
      <c r="K6" s="74" t="s">
        <v>6</v>
      </c>
      <c r="L6" s="74" t="s">
        <v>7</v>
      </c>
      <c r="M6" s="74" t="s">
        <v>8</v>
      </c>
      <c r="N6" s="74" t="s">
        <v>84</v>
      </c>
      <c r="O6" s="74" t="s">
        <v>9</v>
      </c>
      <c r="P6" s="74" t="s">
        <v>10</v>
      </c>
      <c r="Q6" s="74" t="s">
        <v>71</v>
      </c>
      <c r="R6" s="74" t="s">
        <v>70</v>
      </c>
      <c r="S6" s="74" t="s">
        <v>11</v>
      </c>
      <c r="T6" s="74" t="s">
        <v>12</v>
      </c>
      <c r="W6" s="215"/>
      <c r="X6" s="216"/>
      <c r="Z6" s="200" t="s">
        <v>0</v>
      </c>
      <c r="AA6" s="201"/>
      <c r="AB6" s="201"/>
      <c r="AC6" s="201"/>
      <c r="AD6" s="201"/>
      <c r="AE6" s="202"/>
    </row>
    <row r="7" spans="1:32" ht="18" customHeight="1" x14ac:dyDescent="0.2">
      <c r="B7" s="211" t="s">
        <v>73</v>
      </c>
      <c r="C7" s="212"/>
      <c r="D7" s="143"/>
      <c r="E7" s="144"/>
      <c r="F7" s="144"/>
      <c r="G7" s="144"/>
      <c r="H7" s="144"/>
      <c r="I7" s="144"/>
      <c r="J7" s="144"/>
      <c r="K7" s="144"/>
      <c r="L7" s="144"/>
      <c r="M7" s="144"/>
      <c r="N7" s="144"/>
      <c r="O7" s="144"/>
      <c r="P7" s="144"/>
      <c r="Q7" s="145"/>
      <c r="R7" s="57"/>
      <c r="S7" s="149"/>
      <c r="T7" s="57"/>
      <c r="U7" s="93"/>
      <c r="V7" s="147"/>
      <c r="W7" s="74" t="s">
        <v>82</v>
      </c>
      <c r="X7" s="74" t="s">
        <v>83</v>
      </c>
      <c r="Y7" s="129"/>
      <c r="Z7" s="74" t="s">
        <v>4</v>
      </c>
      <c r="AA7" s="74" t="s">
        <v>5</v>
      </c>
      <c r="AB7" s="74" t="s">
        <v>4</v>
      </c>
      <c r="AC7" s="74" t="s">
        <v>5</v>
      </c>
      <c r="AD7" s="74" t="s">
        <v>4</v>
      </c>
      <c r="AE7" s="74" t="s">
        <v>5</v>
      </c>
      <c r="AF7" s="71"/>
    </row>
    <row r="8" spans="1:32" ht="18" customHeight="1" x14ac:dyDescent="0.2">
      <c r="A8" s="34">
        <f>IF(B8="","",IF(C8&lt;&gt;"feriado",WEEKDAY(B8),8))</f>
        <v>1</v>
      </c>
      <c r="B8" s="36">
        <f>inicio</f>
        <v>45200</v>
      </c>
      <c r="C8" s="37">
        <f>IF(B8="","",IF(COUNTIF(fer,B8)&gt;0,"feriado",B8))</f>
        <v>45200</v>
      </c>
      <c r="D8" s="138"/>
      <c r="E8" s="122"/>
      <c r="F8" s="122"/>
      <c r="G8" s="122"/>
      <c r="H8" s="122"/>
      <c r="I8" s="139"/>
      <c r="J8" s="139"/>
      <c r="K8" s="140">
        <f>IF(B8="","",ROUND(O8-N8,5))</f>
        <v>0</v>
      </c>
      <c r="L8" s="140">
        <f t="shared" ref="L8:L38" si="0">IF(B8="","",IF(AND(E8="",F8=""),0,MAX(ININOT,MIN(FIMNOT+1,AA8+(Z8&gt;AA8)))-MAX(ININOT,Z8)+(MIN(FIMNOT,AA8+(Z8&gt;AA8))-MIN(FIMNOT,Z8)))+IF(AND(G8="",H8=""),0,MAX(ININOT,MIN(FIMNOT+1,AC8+(AB8&gt;AC8)))-MAX(ININOT,AB8)+(MIN(FIMNOT,AC8+(AB8&gt;AC8))-MIN(FIMNOT,AB8)))+IF(AND(I8="",J8=""),0,MAX(ININOT,MIN(FIMNOT+1,AE8+(AD8&gt;AE8)))-MAX(ININOT,AD8)+(MIN(FIMNOT,AE8+(AD8&gt;AE8))-MIN(FIMNOT,AD8))))</f>
        <v>0</v>
      </c>
      <c r="M8" s="141">
        <f>IF(B8="","",(L8/7*8)-L8)</f>
        <v>0</v>
      </c>
      <c r="N8" s="141">
        <f>IF(B8="","",L8+M8)</f>
        <v>0</v>
      </c>
      <c r="O8" s="142">
        <f>IF(B8="","",MOD((AA8-Z8)+(AC8-AB8)+(AE8-AD8),1)+M8)</f>
        <v>0</v>
      </c>
      <c r="P8" s="134">
        <f t="shared" ref="P8:P38" si="1">IF(B8="","",IF(D8="F",$X$16,VLOOKUP(A8,jornada,3)))</f>
        <v>0</v>
      </c>
      <c r="Q8" s="134" t="str">
        <f>IF(B8="","",IF(AND(D8="A",P8&gt;O8),P8-O8,""))</f>
        <v/>
      </c>
      <c r="R8" s="134" t="str">
        <f>IF(B8="","",IF(AND(O8&gt;0,D8="F"),"",IF(D8="A","",IF(O8&lt;P8,P8-O8,""))))</f>
        <v/>
      </c>
      <c r="S8" s="142">
        <f>IF(B8="","",IF(AND(WEEKDAY(B8,1)=7,P8=0,D8&lt;&gt;"F"),MAX(0,O8-P8),IF(P8=0,0,MAX(0,O8-P8))))</f>
        <v>0</v>
      </c>
      <c r="T8" s="148">
        <f>IF(B8="","",IF(AND(WEEKDAY(B8,1)=7,P8=0,D8&lt;&gt;"F"),0,IF(P8=0,O8,0)))</f>
        <v>0</v>
      </c>
      <c r="U8" s="104"/>
      <c r="V8" s="108">
        <v>1</v>
      </c>
      <c r="W8" s="95" t="s">
        <v>15</v>
      </c>
      <c r="X8" s="99">
        <v>0</v>
      </c>
      <c r="Z8" s="125">
        <f>IF(B8="","",IF($E8="",0,TIME(INT(E8/100),MOD(E8,100),0)))</f>
        <v>0</v>
      </c>
      <c r="AA8" s="125">
        <f>IF(B8="","",IF($F8="",0,TIME(INT(F8/100),MOD(F8,100),0)))</f>
        <v>0</v>
      </c>
      <c r="AB8" s="124">
        <f>IF(B8="","",IF($G8="",0,TIME(INT(G8/100),MOD(G8,100),0)))</f>
        <v>0</v>
      </c>
      <c r="AC8" s="124">
        <f>IF(B8="","",IF($H8="",0,TIME(INT(H8/100),MOD(H8,100),0)))</f>
        <v>0</v>
      </c>
      <c r="AD8" s="124">
        <f>IF(B8="","",IF($I8="",0,TIME(INT(I8/100),MOD(I8,100),0)))</f>
        <v>0</v>
      </c>
      <c r="AE8" s="181">
        <f>IF(B8="","",IF($J8="",0,TIME(INT(J8/100),MOD(J8,100),0)))</f>
        <v>0</v>
      </c>
      <c r="AF8" s="5"/>
    </row>
    <row r="9" spans="1:32" ht="18" customHeight="1" x14ac:dyDescent="0.2">
      <c r="A9" s="34">
        <f t="shared" ref="A9:A38" si="2">IF(B9="","",IF(C9&lt;&gt;"feriado",WEEKDAY(B9),8))</f>
        <v>2</v>
      </c>
      <c r="B9" s="38">
        <f>B8+1</f>
        <v>45201</v>
      </c>
      <c r="C9" s="39">
        <f t="shared" ref="C9:C38" si="3">IF(B9="","",IF(COUNTIF(fer,B9)&gt;0,"feriado",B9))</f>
        <v>45201</v>
      </c>
      <c r="D9" s="105"/>
      <c r="E9" s="122">
        <v>800</v>
      </c>
      <c r="F9" s="122">
        <v>1200</v>
      </c>
      <c r="G9" s="122">
        <v>1300</v>
      </c>
      <c r="H9" s="122">
        <v>1600</v>
      </c>
      <c r="I9" s="122">
        <v>1630</v>
      </c>
      <c r="J9" s="122">
        <v>1930</v>
      </c>
      <c r="K9" s="68">
        <f t="shared" ref="K9:K38" si="4">IF(B9="","",ROUND(O9-N9,5))</f>
        <v>0.41666999999999998</v>
      </c>
      <c r="L9" s="140">
        <f t="shared" si="0"/>
        <v>0</v>
      </c>
      <c r="M9" s="40">
        <f t="shared" ref="M9:M38" si="5">IF(B9="","",(L9/7*8)-L9)</f>
        <v>0</v>
      </c>
      <c r="N9" s="40">
        <f t="shared" ref="N9:N38" si="6">IF(B9="","",L9+M9)</f>
        <v>0</v>
      </c>
      <c r="O9" s="142">
        <f t="shared" ref="O9:O37" si="7">IF(B9="","",MOD((AA9-Z9)+(AC9-AB9)+(AE9-AD9),1)+M9)</f>
        <v>0.41666666666666669</v>
      </c>
      <c r="P9" s="127">
        <f t="shared" si="1"/>
        <v>0.3666666666666667</v>
      </c>
      <c r="Q9" s="134" t="str">
        <f t="shared" ref="Q9:Q38" si="8">IF(B9="","",IF(AND(D9="A",P9&gt;O9),P9-O9,""))</f>
        <v/>
      </c>
      <c r="R9" s="127" t="str">
        <f t="shared" ref="R9:R38" si="9">IF(B9="","",IF(AND(O9&gt;0,D9="F"),"",IF(D9="A","",IF(O9&lt;P9,P9-O9,""))))</f>
        <v/>
      </c>
      <c r="S9" s="142">
        <f>IF(B9="","",IF(AND(WEEKDAY(B9,1)=7,P9=0,D9&lt;&gt;"F"),MAX(0,O9-P9),IF(P9=0,0,MAX(0,O9-P9))))</f>
        <v>4.9999999999999989E-2</v>
      </c>
      <c r="T9" s="148">
        <f t="shared" ref="T9:T37" si="10">IF(B9="","",IF(AND(WEEKDAY(B9,1)=7,P9=0,D9&lt;&gt;"F"),0,IF(P9=0,O9,0)))</f>
        <v>0</v>
      </c>
      <c r="U9" s="90"/>
      <c r="V9" s="109">
        <v>2</v>
      </c>
      <c r="W9" s="102" t="s">
        <v>16</v>
      </c>
      <c r="X9" s="100">
        <v>0.3666666666666667</v>
      </c>
      <c r="Z9" s="124">
        <f t="shared" ref="Z9:Z38" si="11">IF(B9="","",IF($E9="",0,TIME(INT(E9/100),MOD(E9,100),0)))</f>
        <v>0.33333333333333331</v>
      </c>
      <c r="AA9" s="125">
        <f t="shared" ref="AA9:AA38" si="12">IF(B9="","",IF($F9="",0,TIME(INT(F9/100),MOD(F9,100),0)))</f>
        <v>0.5</v>
      </c>
      <c r="AB9" s="124">
        <f t="shared" ref="AB9:AB38" si="13">IF(B9="","",IF($G9="",0,TIME(INT(G9/100),MOD(G9,100),0)))</f>
        <v>0.54166666666666663</v>
      </c>
      <c r="AC9" s="124">
        <f t="shared" ref="AC9:AC38" si="14">IF(B9="","",IF($H9="",0,TIME(INT(H9/100),MOD(H9,100),0)))</f>
        <v>0.66666666666666663</v>
      </c>
      <c r="AD9" s="124">
        <f t="shared" ref="AD9:AD38" si="15">IF(B9="","",IF($I9="",0,TIME(INT(I9/100),MOD(I9,100),0)))</f>
        <v>0.6875</v>
      </c>
      <c r="AE9" s="181">
        <f t="shared" ref="AE9:AE38" si="16">IF(B9="","",IF($J9="",0,TIME(INT(J9/100),MOD(J9,100),0)))</f>
        <v>0.8125</v>
      </c>
      <c r="AF9" s="5"/>
    </row>
    <row r="10" spans="1:32" ht="18" customHeight="1" x14ac:dyDescent="0.2">
      <c r="A10" s="34">
        <f t="shared" si="2"/>
        <v>3</v>
      </c>
      <c r="B10" s="38">
        <f>B9+1</f>
        <v>45202</v>
      </c>
      <c r="C10" s="39">
        <f t="shared" si="3"/>
        <v>45202</v>
      </c>
      <c r="D10" s="105"/>
      <c r="E10" s="122">
        <v>2200</v>
      </c>
      <c r="F10" s="122">
        <v>200</v>
      </c>
      <c r="G10" s="122">
        <v>200</v>
      </c>
      <c r="H10" s="122">
        <v>500</v>
      </c>
      <c r="I10" s="122"/>
      <c r="J10" s="122"/>
      <c r="K10" s="68">
        <f t="shared" si="4"/>
        <v>0</v>
      </c>
      <c r="L10" s="140">
        <f t="shared" si="0"/>
        <v>0.29166666666666663</v>
      </c>
      <c r="M10" s="40">
        <f t="shared" si="5"/>
        <v>4.1666666666666685E-2</v>
      </c>
      <c r="N10" s="40">
        <f t="shared" si="6"/>
        <v>0.33333333333333331</v>
      </c>
      <c r="O10" s="142">
        <f t="shared" si="7"/>
        <v>0.33333333333333343</v>
      </c>
      <c r="P10" s="127">
        <f t="shared" si="1"/>
        <v>0.3666666666666667</v>
      </c>
      <c r="Q10" s="134" t="str">
        <f t="shared" si="8"/>
        <v/>
      </c>
      <c r="R10" s="127">
        <f t="shared" si="9"/>
        <v>3.333333333333327E-2</v>
      </c>
      <c r="S10" s="142">
        <f t="shared" ref="S10:S37" si="17">IF(B10="","",IF(AND(WEEKDAY(B10,1)=7,P10=0,D10&lt;&gt;"F"),MAX(0,O10-P10),IF(P10=0,0,MAX(0,O10-P10))))</f>
        <v>0</v>
      </c>
      <c r="T10" s="148">
        <f t="shared" si="10"/>
        <v>0</v>
      </c>
      <c r="U10" s="90"/>
      <c r="V10" s="109">
        <v>3</v>
      </c>
      <c r="W10" s="96" t="s">
        <v>17</v>
      </c>
      <c r="X10" s="100">
        <v>0.3666666666666667</v>
      </c>
      <c r="Z10" s="124">
        <f t="shared" si="11"/>
        <v>0.91666666666666663</v>
      </c>
      <c r="AA10" s="125">
        <f t="shared" si="12"/>
        <v>8.3333333333333329E-2</v>
      </c>
      <c r="AB10" s="124">
        <f t="shared" si="13"/>
        <v>8.3333333333333329E-2</v>
      </c>
      <c r="AC10" s="124">
        <f t="shared" si="14"/>
        <v>0.20833333333333334</v>
      </c>
      <c r="AD10" s="124">
        <f t="shared" si="15"/>
        <v>0</v>
      </c>
      <c r="AE10" s="181">
        <f t="shared" si="16"/>
        <v>0</v>
      </c>
      <c r="AF10" s="5"/>
    </row>
    <row r="11" spans="1:32" ht="18" customHeight="1" x14ac:dyDescent="0.2">
      <c r="A11" s="34">
        <f t="shared" si="2"/>
        <v>4</v>
      </c>
      <c r="B11" s="38">
        <f>B10+1</f>
        <v>45203</v>
      </c>
      <c r="C11" s="39">
        <f t="shared" si="3"/>
        <v>45203</v>
      </c>
      <c r="D11" s="105"/>
      <c r="E11" s="122">
        <v>1200</v>
      </c>
      <c r="F11" s="122">
        <v>1800</v>
      </c>
      <c r="G11" s="122">
        <v>1900</v>
      </c>
      <c r="H11" s="122">
        <v>2300</v>
      </c>
      <c r="I11" s="122"/>
      <c r="J11" s="122"/>
      <c r="K11" s="68">
        <f t="shared" si="4"/>
        <v>0.375</v>
      </c>
      <c r="L11" s="140">
        <f t="shared" si="0"/>
        <v>4.1666666666666741E-2</v>
      </c>
      <c r="M11" s="40">
        <f t="shared" si="5"/>
        <v>5.9523809523809659E-3</v>
      </c>
      <c r="N11" s="40">
        <f t="shared" si="6"/>
        <v>4.7619047619047707E-2</v>
      </c>
      <c r="O11" s="142">
        <f t="shared" si="7"/>
        <v>0.42261904761904773</v>
      </c>
      <c r="P11" s="127">
        <f t="shared" si="1"/>
        <v>0.3666666666666667</v>
      </c>
      <c r="Q11" s="134" t="str">
        <f t="shared" si="8"/>
        <v/>
      </c>
      <c r="R11" s="127" t="str">
        <f t="shared" si="9"/>
        <v/>
      </c>
      <c r="S11" s="142">
        <f t="shared" si="17"/>
        <v>5.5952380952381031E-2</v>
      </c>
      <c r="T11" s="148">
        <f t="shared" si="10"/>
        <v>0</v>
      </c>
      <c r="U11" s="90"/>
      <c r="V11" s="109">
        <v>4</v>
      </c>
      <c r="W11" s="96" t="s">
        <v>18</v>
      </c>
      <c r="X11" s="100">
        <v>0.3666666666666667</v>
      </c>
      <c r="Z11" s="124">
        <f t="shared" si="11"/>
        <v>0.5</v>
      </c>
      <c r="AA11" s="125">
        <f t="shared" si="12"/>
        <v>0.75</v>
      </c>
      <c r="AB11" s="124">
        <f t="shared" si="13"/>
        <v>0.79166666666666663</v>
      </c>
      <c r="AC11" s="124">
        <f t="shared" si="14"/>
        <v>0.95833333333333337</v>
      </c>
      <c r="AD11" s="124">
        <f t="shared" si="15"/>
        <v>0</v>
      </c>
      <c r="AE11" s="181">
        <f t="shared" si="16"/>
        <v>0</v>
      </c>
      <c r="AF11" s="5"/>
    </row>
    <row r="12" spans="1:32" ht="18" customHeight="1" x14ac:dyDescent="0.2">
      <c r="A12" s="34">
        <f t="shared" si="2"/>
        <v>5</v>
      </c>
      <c r="B12" s="38">
        <f>B11+1</f>
        <v>45204</v>
      </c>
      <c r="C12" s="39">
        <f t="shared" si="3"/>
        <v>45204</v>
      </c>
      <c r="D12" s="105"/>
      <c r="E12" s="122">
        <v>1200</v>
      </c>
      <c r="F12" s="122">
        <v>1800</v>
      </c>
      <c r="G12" s="122"/>
      <c r="H12" s="122"/>
      <c r="I12" s="122"/>
      <c r="J12" s="122"/>
      <c r="K12" s="68">
        <f t="shared" si="4"/>
        <v>0.25</v>
      </c>
      <c r="L12" s="140">
        <f t="shared" si="0"/>
        <v>0</v>
      </c>
      <c r="M12" s="40">
        <f t="shared" si="5"/>
        <v>0</v>
      </c>
      <c r="N12" s="40">
        <f t="shared" si="6"/>
        <v>0</v>
      </c>
      <c r="O12" s="142">
        <f t="shared" si="7"/>
        <v>0.25</v>
      </c>
      <c r="P12" s="127">
        <f t="shared" si="1"/>
        <v>0.3666666666666667</v>
      </c>
      <c r="Q12" s="134" t="str">
        <f t="shared" si="8"/>
        <v/>
      </c>
      <c r="R12" s="127">
        <f t="shared" si="9"/>
        <v>0.1166666666666667</v>
      </c>
      <c r="S12" s="142">
        <f t="shared" si="17"/>
        <v>0</v>
      </c>
      <c r="T12" s="148">
        <f t="shared" si="10"/>
        <v>0</v>
      </c>
      <c r="U12" s="90"/>
      <c r="V12" s="109">
        <v>5</v>
      </c>
      <c r="W12" s="96" t="s">
        <v>19</v>
      </c>
      <c r="X12" s="100">
        <v>0.3666666666666667</v>
      </c>
      <c r="Z12" s="124">
        <f t="shared" si="11"/>
        <v>0.5</v>
      </c>
      <c r="AA12" s="125">
        <f t="shared" si="12"/>
        <v>0.75</v>
      </c>
      <c r="AB12" s="124">
        <f t="shared" si="13"/>
        <v>0</v>
      </c>
      <c r="AC12" s="124">
        <f t="shared" si="14"/>
        <v>0</v>
      </c>
      <c r="AD12" s="124">
        <f t="shared" si="15"/>
        <v>0</v>
      </c>
      <c r="AE12" s="181">
        <f t="shared" si="16"/>
        <v>0</v>
      </c>
      <c r="AF12" s="5"/>
    </row>
    <row r="13" spans="1:32" ht="18" customHeight="1" x14ac:dyDescent="0.2">
      <c r="A13" s="34">
        <f t="shared" si="2"/>
        <v>6</v>
      </c>
      <c r="B13" s="38">
        <f t="shared" ref="B13:B35" si="18">B12+1</f>
        <v>45205</v>
      </c>
      <c r="C13" s="39">
        <f t="shared" si="3"/>
        <v>45205</v>
      </c>
      <c r="D13" s="105"/>
      <c r="E13" s="122"/>
      <c r="F13" s="122"/>
      <c r="G13" s="122"/>
      <c r="H13" s="122"/>
      <c r="I13" s="122"/>
      <c r="J13" s="122"/>
      <c r="K13" s="68">
        <f t="shared" si="4"/>
        <v>0</v>
      </c>
      <c r="L13" s="140">
        <f t="shared" si="0"/>
        <v>0</v>
      </c>
      <c r="M13" s="40">
        <f t="shared" si="5"/>
        <v>0</v>
      </c>
      <c r="N13" s="40">
        <f t="shared" si="6"/>
        <v>0</v>
      </c>
      <c r="O13" s="142">
        <f t="shared" si="7"/>
        <v>0</v>
      </c>
      <c r="P13" s="127">
        <f t="shared" si="1"/>
        <v>0.3666666666666667</v>
      </c>
      <c r="Q13" s="134" t="str">
        <f t="shared" si="8"/>
        <v/>
      </c>
      <c r="R13" s="127">
        <f t="shared" si="9"/>
        <v>0.3666666666666667</v>
      </c>
      <c r="S13" s="142">
        <f t="shared" si="17"/>
        <v>0</v>
      </c>
      <c r="T13" s="148">
        <f t="shared" si="10"/>
        <v>0</v>
      </c>
      <c r="U13" s="90"/>
      <c r="V13" s="109">
        <v>6</v>
      </c>
      <c r="W13" s="96" t="s">
        <v>20</v>
      </c>
      <c r="X13" s="100">
        <v>0.3666666666666667</v>
      </c>
      <c r="Z13" s="124">
        <f t="shared" si="11"/>
        <v>0</v>
      </c>
      <c r="AA13" s="125">
        <f t="shared" si="12"/>
        <v>0</v>
      </c>
      <c r="AB13" s="124">
        <f t="shared" si="13"/>
        <v>0</v>
      </c>
      <c r="AC13" s="124">
        <f t="shared" si="14"/>
        <v>0</v>
      </c>
      <c r="AD13" s="124">
        <f t="shared" si="15"/>
        <v>0</v>
      </c>
      <c r="AE13" s="181">
        <f t="shared" si="16"/>
        <v>0</v>
      </c>
      <c r="AF13" s="5"/>
    </row>
    <row r="14" spans="1:32" ht="18" customHeight="1" x14ac:dyDescent="0.2">
      <c r="A14" s="34">
        <f t="shared" si="2"/>
        <v>7</v>
      </c>
      <c r="B14" s="38">
        <f t="shared" si="18"/>
        <v>45206</v>
      </c>
      <c r="C14" s="39">
        <f t="shared" si="3"/>
        <v>45206</v>
      </c>
      <c r="D14" s="105"/>
      <c r="E14" s="122"/>
      <c r="F14" s="122"/>
      <c r="G14" s="122"/>
      <c r="H14" s="122"/>
      <c r="I14" s="122"/>
      <c r="J14" s="122"/>
      <c r="K14" s="68">
        <f t="shared" si="4"/>
        <v>0</v>
      </c>
      <c r="L14" s="140">
        <f t="shared" si="0"/>
        <v>0</v>
      </c>
      <c r="M14" s="40">
        <f t="shared" si="5"/>
        <v>0</v>
      </c>
      <c r="N14" s="40">
        <f t="shared" si="6"/>
        <v>0</v>
      </c>
      <c r="O14" s="142">
        <f t="shared" si="7"/>
        <v>0</v>
      </c>
      <c r="P14" s="127">
        <f t="shared" si="1"/>
        <v>0</v>
      </c>
      <c r="Q14" s="134" t="str">
        <f t="shared" si="8"/>
        <v/>
      </c>
      <c r="R14" s="127" t="str">
        <f t="shared" si="9"/>
        <v/>
      </c>
      <c r="S14" s="142">
        <f t="shared" si="17"/>
        <v>0</v>
      </c>
      <c r="T14" s="148">
        <f t="shared" si="10"/>
        <v>0</v>
      </c>
      <c r="U14" s="90"/>
      <c r="V14" s="109">
        <v>7</v>
      </c>
      <c r="W14" s="103" t="s">
        <v>21</v>
      </c>
      <c r="X14" s="100">
        <v>0</v>
      </c>
      <c r="Z14" s="124">
        <f t="shared" si="11"/>
        <v>0</v>
      </c>
      <c r="AA14" s="125">
        <f t="shared" si="12"/>
        <v>0</v>
      </c>
      <c r="AB14" s="124">
        <f t="shared" si="13"/>
        <v>0</v>
      </c>
      <c r="AC14" s="124">
        <f t="shared" si="14"/>
        <v>0</v>
      </c>
      <c r="AD14" s="124">
        <f t="shared" si="15"/>
        <v>0</v>
      </c>
      <c r="AE14" s="181">
        <f t="shared" si="16"/>
        <v>0</v>
      </c>
      <c r="AF14" s="5"/>
    </row>
    <row r="15" spans="1:32" ht="18" customHeight="1" x14ac:dyDescent="0.2">
      <c r="A15" s="34">
        <f t="shared" si="2"/>
        <v>1</v>
      </c>
      <c r="B15" s="38">
        <f t="shared" si="18"/>
        <v>45207</v>
      </c>
      <c r="C15" s="39">
        <f t="shared" si="3"/>
        <v>45207</v>
      </c>
      <c r="D15" s="105"/>
      <c r="E15" s="122"/>
      <c r="F15" s="122"/>
      <c r="G15" s="122"/>
      <c r="H15" s="122"/>
      <c r="I15" s="122"/>
      <c r="J15" s="122"/>
      <c r="K15" s="68">
        <f t="shared" si="4"/>
        <v>0</v>
      </c>
      <c r="L15" s="140">
        <f t="shared" si="0"/>
        <v>0</v>
      </c>
      <c r="M15" s="40">
        <f t="shared" si="5"/>
        <v>0</v>
      </c>
      <c r="N15" s="40">
        <f t="shared" si="6"/>
        <v>0</v>
      </c>
      <c r="O15" s="142">
        <f t="shared" si="7"/>
        <v>0</v>
      </c>
      <c r="P15" s="127">
        <f t="shared" si="1"/>
        <v>0</v>
      </c>
      <c r="Q15" s="134" t="str">
        <f t="shared" si="8"/>
        <v/>
      </c>
      <c r="R15" s="127" t="str">
        <f t="shared" si="9"/>
        <v/>
      </c>
      <c r="S15" s="142">
        <f t="shared" si="17"/>
        <v>0</v>
      </c>
      <c r="T15" s="148">
        <f t="shared" si="10"/>
        <v>0</v>
      </c>
      <c r="U15" s="90"/>
      <c r="V15" s="109">
        <v>8</v>
      </c>
      <c r="W15" s="97" t="s">
        <v>22</v>
      </c>
      <c r="X15" s="101">
        <v>0</v>
      </c>
      <c r="Z15" s="124">
        <f t="shared" si="11"/>
        <v>0</v>
      </c>
      <c r="AA15" s="125">
        <f t="shared" si="12"/>
        <v>0</v>
      </c>
      <c r="AB15" s="124">
        <f t="shared" si="13"/>
        <v>0</v>
      </c>
      <c r="AC15" s="124">
        <f t="shared" si="14"/>
        <v>0</v>
      </c>
      <c r="AD15" s="124">
        <f t="shared" si="15"/>
        <v>0</v>
      </c>
      <c r="AE15" s="181">
        <f t="shared" si="16"/>
        <v>0</v>
      </c>
      <c r="AF15" s="5"/>
    </row>
    <row r="16" spans="1:32" ht="18" customHeight="1" x14ac:dyDescent="0.2">
      <c r="A16" s="34">
        <f t="shared" si="2"/>
        <v>2</v>
      </c>
      <c r="B16" s="38">
        <f t="shared" si="18"/>
        <v>45208</v>
      </c>
      <c r="C16" s="39">
        <f t="shared" si="3"/>
        <v>45208</v>
      </c>
      <c r="D16" s="105"/>
      <c r="E16" s="122"/>
      <c r="F16" s="122"/>
      <c r="G16" s="122"/>
      <c r="H16" s="122"/>
      <c r="I16" s="122"/>
      <c r="J16" s="122"/>
      <c r="K16" s="68">
        <f t="shared" si="4"/>
        <v>0</v>
      </c>
      <c r="L16" s="140">
        <f t="shared" si="0"/>
        <v>0</v>
      </c>
      <c r="M16" s="40">
        <f t="shared" si="5"/>
        <v>0</v>
      </c>
      <c r="N16" s="40">
        <f t="shared" si="6"/>
        <v>0</v>
      </c>
      <c r="O16" s="142">
        <f t="shared" si="7"/>
        <v>0</v>
      </c>
      <c r="P16" s="127">
        <f t="shared" si="1"/>
        <v>0.3666666666666667</v>
      </c>
      <c r="Q16" s="134" t="str">
        <f t="shared" si="8"/>
        <v/>
      </c>
      <c r="R16" s="127">
        <f t="shared" si="9"/>
        <v>0.3666666666666667</v>
      </c>
      <c r="S16" s="142">
        <f t="shared" si="17"/>
        <v>0</v>
      </c>
      <c r="T16" s="148">
        <f t="shared" si="10"/>
        <v>0</v>
      </c>
      <c r="U16" s="90"/>
      <c r="V16" s="90"/>
      <c r="W16" s="98" t="s">
        <v>3</v>
      </c>
      <c r="X16" s="94">
        <v>0</v>
      </c>
      <c r="Z16" s="124">
        <f t="shared" si="11"/>
        <v>0</v>
      </c>
      <c r="AA16" s="125">
        <f t="shared" si="12"/>
        <v>0</v>
      </c>
      <c r="AB16" s="124">
        <f t="shared" si="13"/>
        <v>0</v>
      </c>
      <c r="AC16" s="124">
        <f t="shared" si="14"/>
        <v>0</v>
      </c>
      <c r="AD16" s="124">
        <f t="shared" si="15"/>
        <v>0</v>
      </c>
      <c r="AE16" s="181">
        <f t="shared" si="16"/>
        <v>0</v>
      </c>
      <c r="AF16" s="5"/>
    </row>
    <row r="17" spans="1:32" ht="18" customHeight="1" x14ac:dyDescent="0.2">
      <c r="A17" s="34">
        <f t="shared" si="2"/>
        <v>3</v>
      </c>
      <c r="B17" s="38">
        <f t="shared" si="18"/>
        <v>45209</v>
      </c>
      <c r="C17" s="39">
        <f t="shared" si="3"/>
        <v>45209</v>
      </c>
      <c r="D17" s="105"/>
      <c r="E17" s="122"/>
      <c r="F17" s="122"/>
      <c r="G17" s="122"/>
      <c r="H17" s="122"/>
      <c r="I17" s="122"/>
      <c r="J17" s="122"/>
      <c r="K17" s="68">
        <f t="shared" si="4"/>
        <v>0</v>
      </c>
      <c r="L17" s="140">
        <f t="shared" si="0"/>
        <v>0</v>
      </c>
      <c r="M17" s="40">
        <f t="shared" si="5"/>
        <v>0</v>
      </c>
      <c r="N17" s="40">
        <f t="shared" si="6"/>
        <v>0</v>
      </c>
      <c r="O17" s="142">
        <f t="shared" si="7"/>
        <v>0</v>
      </c>
      <c r="P17" s="127">
        <f t="shared" si="1"/>
        <v>0.3666666666666667</v>
      </c>
      <c r="Q17" s="134" t="str">
        <f t="shared" si="8"/>
        <v/>
      </c>
      <c r="R17" s="127">
        <f t="shared" si="9"/>
        <v>0.3666666666666667</v>
      </c>
      <c r="S17" s="142">
        <f t="shared" si="17"/>
        <v>0</v>
      </c>
      <c r="T17" s="148">
        <f t="shared" si="10"/>
        <v>0</v>
      </c>
      <c r="U17" s="90"/>
      <c r="V17" s="90"/>
      <c r="W17" s="209" t="s">
        <v>23</v>
      </c>
      <c r="X17" s="210"/>
      <c r="Z17" s="124">
        <f t="shared" si="11"/>
        <v>0</v>
      </c>
      <c r="AA17" s="125">
        <f t="shared" si="12"/>
        <v>0</v>
      </c>
      <c r="AB17" s="124">
        <f t="shared" si="13"/>
        <v>0</v>
      </c>
      <c r="AC17" s="124">
        <f t="shared" si="14"/>
        <v>0</v>
      </c>
      <c r="AD17" s="124">
        <f t="shared" si="15"/>
        <v>0</v>
      </c>
      <c r="AE17" s="181">
        <f t="shared" si="16"/>
        <v>0</v>
      </c>
      <c r="AF17" s="5"/>
    </row>
    <row r="18" spans="1:32" ht="18" customHeight="1" x14ac:dyDescent="0.2">
      <c r="A18" s="34">
        <f t="shared" si="2"/>
        <v>4</v>
      </c>
      <c r="B18" s="38">
        <f t="shared" si="18"/>
        <v>45210</v>
      </c>
      <c r="C18" s="39">
        <f t="shared" si="3"/>
        <v>45210</v>
      </c>
      <c r="D18" s="105"/>
      <c r="E18" s="122"/>
      <c r="F18" s="122"/>
      <c r="G18" s="122"/>
      <c r="H18" s="122"/>
      <c r="I18" s="122"/>
      <c r="J18" s="122"/>
      <c r="K18" s="68">
        <f t="shared" si="4"/>
        <v>0</v>
      </c>
      <c r="L18" s="140">
        <f t="shared" si="0"/>
        <v>0</v>
      </c>
      <c r="M18" s="40">
        <f t="shared" si="5"/>
        <v>0</v>
      </c>
      <c r="N18" s="40">
        <f t="shared" si="6"/>
        <v>0</v>
      </c>
      <c r="O18" s="142">
        <f t="shared" si="7"/>
        <v>0</v>
      </c>
      <c r="P18" s="127">
        <f t="shared" si="1"/>
        <v>0.3666666666666667</v>
      </c>
      <c r="Q18" s="134" t="str">
        <f t="shared" si="8"/>
        <v/>
      </c>
      <c r="R18" s="127">
        <f t="shared" si="9"/>
        <v>0.3666666666666667</v>
      </c>
      <c r="S18" s="142">
        <f t="shared" si="17"/>
        <v>0</v>
      </c>
      <c r="T18" s="148">
        <f t="shared" si="10"/>
        <v>0</v>
      </c>
      <c r="U18" s="90"/>
      <c r="V18" s="90"/>
      <c r="W18" s="111" t="s">
        <v>24</v>
      </c>
      <c r="X18" s="99">
        <v>0.91666666666666663</v>
      </c>
      <c r="Z18" s="124">
        <f t="shared" si="11"/>
        <v>0</v>
      </c>
      <c r="AA18" s="125">
        <f t="shared" si="12"/>
        <v>0</v>
      </c>
      <c r="AB18" s="124">
        <f t="shared" si="13"/>
        <v>0</v>
      </c>
      <c r="AC18" s="124">
        <f t="shared" si="14"/>
        <v>0</v>
      </c>
      <c r="AD18" s="124">
        <f t="shared" si="15"/>
        <v>0</v>
      </c>
      <c r="AE18" s="181">
        <f t="shared" si="16"/>
        <v>0</v>
      </c>
      <c r="AF18" s="5"/>
    </row>
    <row r="19" spans="1:32" ht="18" customHeight="1" x14ac:dyDescent="0.2">
      <c r="A19" s="34">
        <f t="shared" si="2"/>
        <v>8</v>
      </c>
      <c r="B19" s="38">
        <f t="shared" si="18"/>
        <v>45211</v>
      </c>
      <c r="C19" s="39" t="str">
        <f t="shared" si="3"/>
        <v>feriado</v>
      </c>
      <c r="D19" s="105"/>
      <c r="E19" s="122"/>
      <c r="F19" s="122"/>
      <c r="G19" s="122"/>
      <c r="H19" s="122"/>
      <c r="I19" s="122"/>
      <c r="J19" s="122"/>
      <c r="K19" s="68">
        <f t="shared" si="4"/>
        <v>0</v>
      </c>
      <c r="L19" s="140">
        <f t="shared" si="0"/>
        <v>0</v>
      </c>
      <c r="M19" s="40">
        <f t="shared" si="5"/>
        <v>0</v>
      </c>
      <c r="N19" s="40">
        <f t="shared" si="6"/>
        <v>0</v>
      </c>
      <c r="O19" s="142">
        <f t="shared" si="7"/>
        <v>0</v>
      </c>
      <c r="P19" s="127">
        <f t="shared" si="1"/>
        <v>0</v>
      </c>
      <c r="Q19" s="134" t="str">
        <f t="shared" si="8"/>
        <v/>
      </c>
      <c r="R19" s="127" t="str">
        <f t="shared" si="9"/>
        <v/>
      </c>
      <c r="S19" s="142">
        <f t="shared" si="17"/>
        <v>0</v>
      </c>
      <c r="T19" s="148">
        <f t="shared" si="10"/>
        <v>0</v>
      </c>
      <c r="U19" s="90"/>
      <c r="V19" s="90"/>
      <c r="W19" s="112" t="s">
        <v>25</v>
      </c>
      <c r="X19" s="101">
        <v>0.20833333333333334</v>
      </c>
      <c r="Z19" s="124">
        <f t="shared" si="11"/>
        <v>0</v>
      </c>
      <c r="AA19" s="125">
        <f t="shared" si="12"/>
        <v>0</v>
      </c>
      <c r="AB19" s="124">
        <f t="shared" si="13"/>
        <v>0</v>
      </c>
      <c r="AC19" s="124">
        <f t="shared" si="14"/>
        <v>0</v>
      </c>
      <c r="AD19" s="124">
        <f t="shared" si="15"/>
        <v>0</v>
      </c>
      <c r="AE19" s="181">
        <f t="shared" si="16"/>
        <v>0</v>
      </c>
      <c r="AF19" s="7"/>
    </row>
    <row r="20" spans="1:32" ht="18" customHeight="1" x14ac:dyDescent="0.2">
      <c r="A20" s="34">
        <f t="shared" si="2"/>
        <v>6</v>
      </c>
      <c r="B20" s="38">
        <f t="shared" si="18"/>
        <v>45212</v>
      </c>
      <c r="C20" s="39">
        <f t="shared" si="3"/>
        <v>45212</v>
      </c>
      <c r="D20" s="105"/>
      <c r="E20" s="122"/>
      <c r="F20" s="122"/>
      <c r="G20" s="122"/>
      <c r="H20" s="122"/>
      <c r="I20" s="122"/>
      <c r="J20" s="122"/>
      <c r="K20" s="68">
        <f t="shared" si="4"/>
        <v>0</v>
      </c>
      <c r="L20" s="140">
        <f t="shared" si="0"/>
        <v>0</v>
      </c>
      <c r="M20" s="40">
        <f t="shared" si="5"/>
        <v>0</v>
      </c>
      <c r="N20" s="40">
        <f t="shared" si="6"/>
        <v>0</v>
      </c>
      <c r="O20" s="142">
        <f t="shared" si="7"/>
        <v>0</v>
      </c>
      <c r="P20" s="127">
        <f t="shared" si="1"/>
        <v>0.3666666666666667</v>
      </c>
      <c r="Q20" s="134" t="str">
        <f t="shared" si="8"/>
        <v/>
      </c>
      <c r="R20" s="127">
        <f t="shared" si="9"/>
        <v>0.3666666666666667</v>
      </c>
      <c r="S20" s="142">
        <f t="shared" si="17"/>
        <v>0</v>
      </c>
      <c r="T20" s="148">
        <f t="shared" si="10"/>
        <v>0</v>
      </c>
      <c r="U20" s="90"/>
      <c r="V20" s="90"/>
      <c r="W20" s="209" t="s">
        <v>26</v>
      </c>
      <c r="X20" s="210"/>
      <c r="Z20" s="124">
        <f t="shared" si="11"/>
        <v>0</v>
      </c>
      <c r="AA20" s="125">
        <f t="shared" si="12"/>
        <v>0</v>
      </c>
      <c r="AB20" s="124">
        <f t="shared" si="13"/>
        <v>0</v>
      </c>
      <c r="AC20" s="124">
        <f t="shared" si="14"/>
        <v>0</v>
      </c>
      <c r="AD20" s="124">
        <f t="shared" si="15"/>
        <v>0</v>
      </c>
      <c r="AE20" s="181">
        <f t="shared" si="16"/>
        <v>0</v>
      </c>
      <c r="AF20" s="5"/>
    </row>
    <row r="21" spans="1:32" ht="18" customHeight="1" x14ac:dyDescent="0.2">
      <c r="A21" s="34">
        <f t="shared" si="2"/>
        <v>7</v>
      </c>
      <c r="B21" s="38">
        <f t="shared" si="18"/>
        <v>45213</v>
      </c>
      <c r="C21" s="39">
        <f t="shared" si="3"/>
        <v>45213</v>
      </c>
      <c r="D21" s="105"/>
      <c r="E21" s="122"/>
      <c r="F21" s="122"/>
      <c r="G21" s="122"/>
      <c r="H21" s="122"/>
      <c r="I21" s="122"/>
      <c r="J21" s="122"/>
      <c r="K21" s="68">
        <f t="shared" si="4"/>
        <v>0</v>
      </c>
      <c r="L21" s="140">
        <f t="shared" si="0"/>
        <v>0</v>
      </c>
      <c r="M21" s="40">
        <f t="shared" si="5"/>
        <v>0</v>
      </c>
      <c r="N21" s="40">
        <f t="shared" si="6"/>
        <v>0</v>
      </c>
      <c r="O21" s="142">
        <f t="shared" si="7"/>
        <v>0</v>
      </c>
      <c r="P21" s="127">
        <f t="shared" si="1"/>
        <v>0</v>
      </c>
      <c r="Q21" s="134" t="str">
        <f t="shared" si="8"/>
        <v/>
      </c>
      <c r="R21" s="127" t="str">
        <f t="shared" si="9"/>
        <v/>
      </c>
      <c r="S21" s="142">
        <f t="shared" si="17"/>
        <v>0</v>
      </c>
      <c r="T21" s="148">
        <f t="shared" si="10"/>
        <v>0</v>
      </c>
      <c r="U21" s="90"/>
      <c r="V21" s="90"/>
      <c r="W21" s="113" t="s">
        <v>27</v>
      </c>
      <c r="X21" s="184"/>
      <c r="Z21" s="124">
        <f t="shared" si="11"/>
        <v>0</v>
      </c>
      <c r="AA21" s="125">
        <f t="shared" si="12"/>
        <v>0</v>
      </c>
      <c r="AB21" s="124">
        <f t="shared" si="13"/>
        <v>0</v>
      </c>
      <c r="AC21" s="124">
        <f t="shared" si="14"/>
        <v>0</v>
      </c>
      <c r="AD21" s="124">
        <f t="shared" si="15"/>
        <v>0</v>
      </c>
      <c r="AE21" s="181">
        <f t="shared" si="16"/>
        <v>0</v>
      </c>
    </row>
    <row r="22" spans="1:32" ht="18" customHeight="1" x14ac:dyDescent="0.25">
      <c r="A22" s="34">
        <f t="shared" si="2"/>
        <v>1</v>
      </c>
      <c r="B22" s="38">
        <f t="shared" si="18"/>
        <v>45214</v>
      </c>
      <c r="C22" s="39">
        <f t="shared" si="3"/>
        <v>45214</v>
      </c>
      <c r="D22" s="105"/>
      <c r="E22" s="122"/>
      <c r="F22" s="122"/>
      <c r="G22" s="122"/>
      <c r="H22" s="122"/>
      <c r="I22" s="122"/>
      <c r="J22" s="122"/>
      <c r="K22" s="68">
        <f t="shared" si="4"/>
        <v>0</v>
      </c>
      <c r="L22" s="140">
        <f t="shared" si="0"/>
        <v>0</v>
      </c>
      <c r="M22" s="40">
        <f t="shared" si="5"/>
        <v>0</v>
      </c>
      <c r="N22" s="40">
        <f t="shared" si="6"/>
        <v>0</v>
      </c>
      <c r="O22" s="142">
        <f t="shared" si="7"/>
        <v>0</v>
      </c>
      <c r="P22" s="127">
        <f t="shared" si="1"/>
        <v>0</v>
      </c>
      <c r="Q22" s="134" t="str">
        <f t="shared" si="8"/>
        <v/>
      </c>
      <c r="R22" s="127" t="str">
        <f t="shared" si="9"/>
        <v/>
      </c>
      <c r="S22" s="142">
        <f t="shared" si="17"/>
        <v>0</v>
      </c>
      <c r="T22" s="148">
        <f t="shared" si="10"/>
        <v>0</v>
      </c>
      <c r="U22" s="90"/>
      <c r="V22" s="90"/>
      <c r="W22" s="128" t="s">
        <v>28</v>
      </c>
      <c r="X22" s="131">
        <v>2023</v>
      </c>
      <c r="Z22" s="124">
        <f t="shared" si="11"/>
        <v>0</v>
      </c>
      <c r="AA22" s="125">
        <f t="shared" si="12"/>
        <v>0</v>
      </c>
      <c r="AB22" s="124">
        <f t="shared" si="13"/>
        <v>0</v>
      </c>
      <c r="AC22" s="124">
        <f t="shared" si="14"/>
        <v>0</v>
      </c>
      <c r="AD22" s="124">
        <f t="shared" si="15"/>
        <v>0</v>
      </c>
      <c r="AE22" s="181">
        <f t="shared" si="16"/>
        <v>0</v>
      </c>
    </row>
    <row r="23" spans="1:32" ht="18" customHeight="1" x14ac:dyDescent="0.25">
      <c r="A23" s="34">
        <f t="shared" si="2"/>
        <v>2</v>
      </c>
      <c r="B23" s="38">
        <f t="shared" si="18"/>
        <v>45215</v>
      </c>
      <c r="C23" s="39">
        <f t="shared" si="3"/>
        <v>45215</v>
      </c>
      <c r="D23" s="105"/>
      <c r="E23" s="122"/>
      <c r="F23" s="122"/>
      <c r="G23" s="122"/>
      <c r="H23" s="122"/>
      <c r="I23" s="122"/>
      <c r="J23" s="122"/>
      <c r="K23" s="68">
        <f t="shared" si="4"/>
        <v>0</v>
      </c>
      <c r="L23" s="140">
        <f t="shared" si="0"/>
        <v>0</v>
      </c>
      <c r="M23" s="40">
        <f t="shared" si="5"/>
        <v>0</v>
      </c>
      <c r="N23" s="40">
        <f t="shared" si="6"/>
        <v>0</v>
      </c>
      <c r="O23" s="142">
        <f t="shared" si="7"/>
        <v>0</v>
      </c>
      <c r="P23" s="127">
        <f t="shared" si="1"/>
        <v>0.3666666666666667</v>
      </c>
      <c r="Q23" s="134" t="str">
        <f t="shared" si="8"/>
        <v/>
      </c>
      <c r="R23" s="127">
        <f t="shared" si="9"/>
        <v>0.3666666666666667</v>
      </c>
      <c r="S23" s="142">
        <f t="shared" si="17"/>
        <v>0</v>
      </c>
      <c r="T23" s="148">
        <f t="shared" si="10"/>
        <v>0</v>
      </c>
      <c r="U23" s="90"/>
      <c r="V23" s="90"/>
      <c r="W23" s="128" t="s">
        <v>29</v>
      </c>
      <c r="X23" s="130">
        <v>10</v>
      </c>
      <c r="Z23" s="124">
        <f t="shared" si="11"/>
        <v>0</v>
      </c>
      <c r="AA23" s="125">
        <f t="shared" si="12"/>
        <v>0</v>
      </c>
      <c r="AB23" s="124">
        <f t="shared" si="13"/>
        <v>0</v>
      </c>
      <c r="AC23" s="124">
        <f t="shared" si="14"/>
        <v>0</v>
      </c>
      <c r="AD23" s="124">
        <f t="shared" si="15"/>
        <v>0</v>
      </c>
      <c r="AE23" s="181">
        <f t="shared" si="16"/>
        <v>0</v>
      </c>
      <c r="AF23" s="4"/>
    </row>
    <row r="24" spans="1:32" ht="18" customHeight="1" x14ac:dyDescent="0.2">
      <c r="A24" s="34">
        <f t="shared" si="2"/>
        <v>3</v>
      </c>
      <c r="B24" s="38">
        <f t="shared" si="18"/>
        <v>45216</v>
      </c>
      <c r="C24" s="39">
        <f t="shared" si="3"/>
        <v>45216</v>
      </c>
      <c r="D24" s="105"/>
      <c r="E24" s="122"/>
      <c r="F24" s="122"/>
      <c r="G24" s="122"/>
      <c r="H24" s="122"/>
      <c r="I24" s="122"/>
      <c r="J24" s="122"/>
      <c r="K24" s="68">
        <f t="shared" si="4"/>
        <v>0</v>
      </c>
      <c r="L24" s="140">
        <f t="shared" si="0"/>
        <v>0</v>
      </c>
      <c r="M24" s="40">
        <f t="shared" si="5"/>
        <v>0</v>
      </c>
      <c r="N24" s="40">
        <f t="shared" si="6"/>
        <v>0</v>
      </c>
      <c r="O24" s="142">
        <f t="shared" si="7"/>
        <v>0</v>
      </c>
      <c r="P24" s="127">
        <f t="shared" si="1"/>
        <v>0.3666666666666667</v>
      </c>
      <c r="Q24" s="134" t="str">
        <f t="shared" si="8"/>
        <v/>
      </c>
      <c r="R24" s="127">
        <f t="shared" si="9"/>
        <v>0.3666666666666667</v>
      </c>
      <c r="S24" s="142">
        <f t="shared" si="17"/>
        <v>0</v>
      </c>
      <c r="T24" s="148">
        <f t="shared" si="10"/>
        <v>0</v>
      </c>
      <c r="U24" s="90"/>
      <c r="V24" s="90"/>
      <c r="W24" s="150"/>
      <c r="X24" s="90"/>
      <c r="Z24" s="124">
        <f t="shared" si="11"/>
        <v>0</v>
      </c>
      <c r="AA24" s="125">
        <f t="shared" si="12"/>
        <v>0</v>
      </c>
      <c r="AB24" s="124">
        <f t="shared" si="13"/>
        <v>0</v>
      </c>
      <c r="AC24" s="124">
        <f t="shared" si="14"/>
        <v>0</v>
      </c>
      <c r="AD24" s="124">
        <f t="shared" si="15"/>
        <v>0</v>
      </c>
      <c r="AE24" s="181">
        <f t="shared" si="16"/>
        <v>0</v>
      </c>
    </row>
    <row r="25" spans="1:32" ht="18" customHeight="1" x14ac:dyDescent="0.2">
      <c r="A25" s="34">
        <f t="shared" si="2"/>
        <v>4</v>
      </c>
      <c r="B25" s="38">
        <f t="shared" si="18"/>
        <v>45217</v>
      </c>
      <c r="C25" s="39">
        <f t="shared" si="3"/>
        <v>45217</v>
      </c>
      <c r="D25" s="105"/>
      <c r="E25" s="122"/>
      <c r="F25" s="122"/>
      <c r="G25" s="122"/>
      <c r="H25" s="122"/>
      <c r="I25" s="122"/>
      <c r="J25" s="122"/>
      <c r="K25" s="68">
        <f t="shared" si="4"/>
        <v>0</v>
      </c>
      <c r="L25" s="140">
        <f t="shared" si="0"/>
        <v>0</v>
      </c>
      <c r="M25" s="40">
        <f t="shared" si="5"/>
        <v>0</v>
      </c>
      <c r="N25" s="40">
        <f t="shared" si="6"/>
        <v>0</v>
      </c>
      <c r="O25" s="142">
        <f t="shared" si="7"/>
        <v>0</v>
      </c>
      <c r="P25" s="127">
        <f t="shared" si="1"/>
        <v>0.3666666666666667</v>
      </c>
      <c r="Q25" s="134" t="str">
        <f t="shared" si="8"/>
        <v/>
      </c>
      <c r="R25" s="127">
        <f t="shared" si="9"/>
        <v>0.3666666666666667</v>
      </c>
      <c r="S25" s="142">
        <f t="shared" si="17"/>
        <v>0</v>
      </c>
      <c r="T25" s="148">
        <f t="shared" si="10"/>
        <v>0</v>
      </c>
      <c r="U25" s="90"/>
      <c r="V25" s="90"/>
      <c r="W25" s="167" t="s">
        <v>79</v>
      </c>
      <c r="X25" s="160">
        <f>N39</f>
        <v>0.38095238095238104</v>
      </c>
      <c r="Z25" s="124">
        <f t="shared" si="11"/>
        <v>0</v>
      </c>
      <c r="AA25" s="125">
        <f t="shared" si="12"/>
        <v>0</v>
      </c>
      <c r="AB25" s="124">
        <f t="shared" si="13"/>
        <v>0</v>
      </c>
      <c r="AC25" s="124">
        <f t="shared" si="14"/>
        <v>0</v>
      </c>
      <c r="AD25" s="124">
        <f t="shared" si="15"/>
        <v>0</v>
      </c>
      <c r="AE25" s="181">
        <f t="shared" si="16"/>
        <v>0</v>
      </c>
    </row>
    <row r="26" spans="1:32" ht="18" customHeight="1" x14ac:dyDescent="0.2">
      <c r="A26" s="34">
        <f t="shared" si="2"/>
        <v>5</v>
      </c>
      <c r="B26" s="38">
        <f t="shared" si="18"/>
        <v>45218</v>
      </c>
      <c r="C26" s="39">
        <f t="shared" si="3"/>
        <v>45218</v>
      </c>
      <c r="D26" s="105"/>
      <c r="E26" s="122"/>
      <c r="F26" s="122"/>
      <c r="G26" s="122"/>
      <c r="H26" s="122"/>
      <c r="I26" s="122"/>
      <c r="J26" s="122"/>
      <c r="K26" s="68">
        <f t="shared" si="4"/>
        <v>0</v>
      </c>
      <c r="L26" s="140">
        <f t="shared" si="0"/>
        <v>0</v>
      </c>
      <c r="M26" s="40">
        <f t="shared" si="5"/>
        <v>0</v>
      </c>
      <c r="N26" s="40">
        <f t="shared" si="6"/>
        <v>0</v>
      </c>
      <c r="O26" s="142">
        <f t="shared" si="7"/>
        <v>0</v>
      </c>
      <c r="P26" s="127">
        <f t="shared" si="1"/>
        <v>0.3666666666666667</v>
      </c>
      <c r="Q26" s="134" t="str">
        <f t="shared" si="8"/>
        <v/>
      </c>
      <c r="R26" s="127">
        <f t="shared" si="9"/>
        <v>0.3666666666666667</v>
      </c>
      <c r="S26" s="142">
        <f t="shared" si="17"/>
        <v>0</v>
      </c>
      <c r="T26" s="148">
        <f t="shared" si="10"/>
        <v>0</v>
      </c>
      <c r="U26" s="90"/>
      <c r="V26" s="90"/>
      <c r="W26" s="161" t="s">
        <v>74</v>
      </c>
      <c r="X26" s="162">
        <f>O39</f>
        <v>1.4226190476190479</v>
      </c>
      <c r="Z26" s="124">
        <f t="shared" si="11"/>
        <v>0</v>
      </c>
      <c r="AA26" s="125">
        <f t="shared" si="12"/>
        <v>0</v>
      </c>
      <c r="AB26" s="124">
        <f t="shared" si="13"/>
        <v>0</v>
      </c>
      <c r="AC26" s="124">
        <f t="shared" si="14"/>
        <v>0</v>
      </c>
      <c r="AD26" s="124">
        <f t="shared" si="15"/>
        <v>0</v>
      </c>
      <c r="AE26" s="181">
        <f t="shared" si="16"/>
        <v>0</v>
      </c>
    </row>
    <row r="27" spans="1:32" ht="18" customHeight="1" x14ac:dyDescent="0.2">
      <c r="A27" s="34">
        <f t="shared" si="2"/>
        <v>6</v>
      </c>
      <c r="B27" s="38">
        <f t="shared" si="18"/>
        <v>45219</v>
      </c>
      <c r="C27" s="39">
        <f t="shared" si="3"/>
        <v>45219</v>
      </c>
      <c r="D27" s="105"/>
      <c r="E27" s="122"/>
      <c r="F27" s="122"/>
      <c r="G27" s="122"/>
      <c r="H27" s="122"/>
      <c r="I27" s="122"/>
      <c r="J27" s="122"/>
      <c r="K27" s="68">
        <f t="shared" si="4"/>
        <v>0</v>
      </c>
      <c r="L27" s="140">
        <f t="shared" si="0"/>
        <v>0</v>
      </c>
      <c r="M27" s="40">
        <f t="shared" si="5"/>
        <v>0</v>
      </c>
      <c r="N27" s="40">
        <f t="shared" si="6"/>
        <v>0</v>
      </c>
      <c r="O27" s="142">
        <f t="shared" si="7"/>
        <v>0</v>
      </c>
      <c r="P27" s="127">
        <f t="shared" si="1"/>
        <v>0.3666666666666667</v>
      </c>
      <c r="Q27" s="134" t="str">
        <f t="shared" si="8"/>
        <v/>
      </c>
      <c r="R27" s="127">
        <f t="shared" si="9"/>
        <v>0.3666666666666667</v>
      </c>
      <c r="S27" s="142">
        <f t="shared" si="17"/>
        <v>0</v>
      </c>
      <c r="T27" s="148">
        <f t="shared" si="10"/>
        <v>0</v>
      </c>
      <c r="U27" s="90"/>
      <c r="V27" s="90"/>
      <c r="W27" s="157" t="s">
        <v>75</v>
      </c>
      <c r="X27" s="158">
        <f>Q39</f>
        <v>0</v>
      </c>
      <c r="Z27" s="124">
        <f t="shared" si="11"/>
        <v>0</v>
      </c>
      <c r="AA27" s="125">
        <f t="shared" si="12"/>
        <v>0</v>
      </c>
      <c r="AB27" s="124">
        <f t="shared" si="13"/>
        <v>0</v>
      </c>
      <c r="AC27" s="124">
        <f t="shared" si="14"/>
        <v>0</v>
      </c>
      <c r="AD27" s="124">
        <f t="shared" si="15"/>
        <v>0</v>
      </c>
      <c r="AE27" s="181">
        <f t="shared" si="16"/>
        <v>0</v>
      </c>
    </row>
    <row r="28" spans="1:32" ht="18" customHeight="1" x14ac:dyDescent="0.2">
      <c r="A28" s="34">
        <f t="shared" si="2"/>
        <v>7</v>
      </c>
      <c r="B28" s="38">
        <f t="shared" si="18"/>
        <v>45220</v>
      </c>
      <c r="C28" s="39">
        <f t="shared" si="3"/>
        <v>45220</v>
      </c>
      <c r="D28" s="105"/>
      <c r="E28" s="122"/>
      <c r="F28" s="122"/>
      <c r="G28" s="122"/>
      <c r="H28" s="122"/>
      <c r="I28" s="122"/>
      <c r="J28" s="122"/>
      <c r="K28" s="68">
        <f t="shared" si="4"/>
        <v>0</v>
      </c>
      <c r="L28" s="140">
        <f t="shared" si="0"/>
        <v>0</v>
      </c>
      <c r="M28" s="40">
        <f t="shared" si="5"/>
        <v>0</v>
      </c>
      <c r="N28" s="40">
        <f t="shared" si="6"/>
        <v>0</v>
      </c>
      <c r="O28" s="142">
        <f t="shared" si="7"/>
        <v>0</v>
      </c>
      <c r="P28" s="127">
        <f t="shared" si="1"/>
        <v>0</v>
      </c>
      <c r="Q28" s="134" t="str">
        <f t="shared" si="8"/>
        <v/>
      </c>
      <c r="R28" s="127" t="str">
        <f t="shared" si="9"/>
        <v/>
      </c>
      <c r="S28" s="142">
        <f t="shared" si="17"/>
        <v>0</v>
      </c>
      <c r="T28" s="148">
        <f t="shared" si="10"/>
        <v>0</v>
      </c>
      <c r="U28" s="90"/>
      <c r="V28" s="90"/>
      <c r="W28" s="163" t="s">
        <v>76</v>
      </c>
      <c r="X28" s="164">
        <f>R39</f>
        <v>6.3833333333333364</v>
      </c>
      <c r="Z28" s="124">
        <f t="shared" si="11"/>
        <v>0</v>
      </c>
      <c r="AA28" s="125">
        <f t="shared" si="12"/>
        <v>0</v>
      </c>
      <c r="AB28" s="124">
        <f t="shared" si="13"/>
        <v>0</v>
      </c>
      <c r="AC28" s="124">
        <f t="shared" si="14"/>
        <v>0</v>
      </c>
      <c r="AD28" s="124">
        <f t="shared" si="15"/>
        <v>0</v>
      </c>
      <c r="AE28" s="181">
        <f t="shared" si="16"/>
        <v>0</v>
      </c>
    </row>
    <row r="29" spans="1:32" ht="18" customHeight="1" x14ac:dyDescent="0.2">
      <c r="A29" s="34">
        <f t="shared" si="2"/>
        <v>1</v>
      </c>
      <c r="B29" s="38">
        <f t="shared" si="18"/>
        <v>45221</v>
      </c>
      <c r="C29" s="39">
        <f t="shared" si="3"/>
        <v>45221</v>
      </c>
      <c r="D29" s="105"/>
      <c r="E29" s="122"/>
      <c r="F29" s="122"/>
      <c r="G29" s="122"/>
      <c r="H29" s="122"/>
      <c r="I29" s="122"/>
      <c r="J29" s="122"/>
      <c r="K29" s="68">
        <f t="shared" si="4"/>
        <v>0</v>
      </c>
      <c r="L29" s="140">
        <f t="shared" si="0"/>
        <v>0</v>
      </c>
      <c r="M29" s="40">
        <f t="shared" si="5"/>
        <v>0</v>
      </c>
      <c r="N29" s="40">
        <f t="shared" si="6"/>
        <v>0</v>
      </c>
      <c r="O29" s="142">
        <f t="shared" si="7"/>
        <v>0</v>
      </c>
      <c r="P29" s="127">
        <f t="shared" si="1"/>
        <v>0</v>
      </c>
      <c r="Q29" s="134" t="str">
        <f t="shared" si="8"/>
        <v/>
      </c>
      <c r="R29" s="127" t="str">
        <f t="shared" si="9"/>
        <v/>
      </c>
      <c r="S29" s="142">
        <f t="shared" si="17"/>
        <v>0</v>
      </c>
      <c r="T29" s="148">
        <f t="shared" si="10"/>
        <v>0</v>
      </c>
      <c r="U29" s="90"/>
      <c r="V29" s="90"/>
      <c r="W29" s="157" t="s">
        <v>77</v>
      </c>
      <c r="X29" s="158">
        <f>S39</f>
        <v>0.10595238095238102</v>
      </c>
      <c r="Z29" s="124">
        <f t="shared" si="11"/>
        <v>0</v>
      </c>
      <c r="AA29" s="125">
        <f t="shared" si="12"/>
        <v>0</v>
      </c>
      <c r="AB29" s="124">
        <f t="shared" si="13"/>
        <v>0</v>
      </c>
      <c r="AC29" s="124">
        <f t="shared" si="14"/>
        <v>0</v>
      </c>
      <c r="AD29" s="124">
        <f t="shared" si="15"/>
        <v>0</v>
      </c>
      <c r="AE29" s="181">
        <f t="shared" si="16"/>
        <v>0</v>
      </c>
    </row>
    <row r="30" spans="1:32" ht="18" customHeight="1" x14ac:dyDescent="0.2">
      <c r="A30" s="34">
        <f t="shared" si="2"/>
        <v>2</v>
      </c>
      <c r="B30" s="38">
        <f t="shared" si="18"/>
        <v>45222</v>
      </c>
      <c r="C30" s="39">
        <f t="shared" si="3"/>
        <v>45222</v>
      </c>
      <c r="D30" s="105"/>
      <c r="E30" s="122"/>
      <c r="F30" s="122"/>
      <c r="G30" s="122"/>
      <c r="H30" s="122"/>
      <c r="I30" s="122"/>
      <c r="J30" s="122"/>
      <c r="K30" s="68">
        <f t="shared" si="4"/>
        <v>0</v>
      </c>
      <c r="L30" s="140">
        <f t="shared" si="0"/>
        <v>0</v>
      </c>
      <c r="M30" s="40">
        <f t="shared" si="5"/>
        <v>0</v>
      </c>
      <c r="N30" s="40">
        <f t="shared" si="6"/>
        <v>0</v>
      </c>
      <c r="O30" s="142">
        <f t="shared" si="7"/>
        <v>0</v>
      </c>
      <c r="P30" s="127">
        <f t="shared" si="1"/>
        <v>0.3666666666666667</v>
      </c>
      <c r="Q30" s="134" t="str">
        <f t="shared" si="8"/>
        <v/>
      </c>
      <c r="R30" s="127">
        <f t="shared" si="9"/>
        <v>0.3666666666666667</v>
      </c>
      <c r="S30" s="142">
        <f t="shared" si="17"/>
        <v>0</v>
      </c>
      <c r="T30" s="148">
        <f t="shared" si="10"/>
        <v>0</v>
      </c>
      <c r="U30" s="90"/>
      <c r="V30" s="90"/>
      <c r="W30" s="165" t="s">
        <v>78</v>
      </c>
      <c r="X30" s="166">
        <f>T39</f>
        <v>0</v>
      </c>
      <c r="Z30" s="124">
        <f t="shared" si="11"/>
        <v>0</v>
      </c>
      <c r="AA30" s="125">
        <f t="shared" si="12"/>
        <v>0</v>
      </c>
      <c r="AB30" s="124">
        <f t="shared" si="13"/>
        <v>0</v>
      </c>
      <c r="AC30" s="124">
        <f t="shared" si="14"/>
        <v>0</v>
      </c>
      <c r="AD30" s="124">
        <f t="shared" si="15"/>
        <v>0</v>
      </c>
      <c r="AE30" s="181">
        <f t="shared" si="16"/>
        <v>0</v>
      </c>
    </row>
    <row r="31" spans="1:32" ht="18" customHeight="1" x14ac:dyDescent="0.2">
      <c r="A31" s="34">
        <f t="shared" si="2"/>
        <v>3</v>
      </c>
      <c r="B31" s="38">
        <f t="shared" si="18"/>
        <v>45223</v>
      </c>
      <c r="C31" s="39">
        <f>IF(B31="","",IF(COUNTIF(fer,B31)&gt;0,"feriado",B31))</f>
        <v>45223</v>
      </c>
      <c r="D31" s="105"/>
      <c r="E31" s="122"/>
      <c r="F31" s="122"/>
      <c r="G31" s="122"/>
      <c r="H31" s="122"/>
      <c r="I31" s="122"/>
      <c r="J31" s="122"/>
      <c r="K31" s="68">
        <f t="shared" si="4"/>
        <v>0</v>
      </c>
      <c r="L31" s="140">
        <f t="shared" si="0"/>
        <v>0</v>
      </c>
      <c r="M31" s="40">
        <f t="shared" si="5"/>
        <v>0</v>
      </c>
      <c r="N31" s="40">
        <f t="shared" si="6"/>
        <v>0</v>
      </c>
      <c r="O31" s="142">
        <f t="shared" si="7"/>
        <v>0</v>
      </c>
      <c r="P31" s="127">
        <f t="shared" si="1"/>
        <v>0.3666666666666667</v>
      </c>
      <c r="Q31" s="134" t="str">
        <f t="shared" si="8"/>
        <v/>
      </c>
      <c r="R31" s="127">
        <f t="shared" si="9"/>
        <v>0.3666666666666667</v>
      </c>
      <c r="S31" s="142">
        <f t="shared" si="17"/>
        <v>0</v>
      </c>
      <c r="T31" s="148">
        <f t="shared" si="10"/>
        <v>0</v>
      </c>
      <c r="U31" s="90"/>
      <c r="V31" s="90"/>
      <c r="W31" s="90"/>
      <c r="X31" s="90"/>
      <c r="Z31" s="124">
        <f t="shared" si="11"/>
        <v>0</v>
      </c>
      <c r="AA31" s="125">
        <f t="shared" si="12"/>
        <v>0</v>
      </c>
      <c r="AB31" s="124">
        <f t="shared" si="13"/>
        <v>0</v>
      </c>
      <c r="AC31" s="124">
        <f t="shared" si="14"/>
        <v>0</v>
      </c>
      <c r="AD31" s="124">
        <f t="shared" si="15"/>
        <v>0</v>
      </c>
      <c r="AE31" s="181">
        <f t="shared" si="16"/>
        <v>0</v>
      </c>
    </row>
    <row r="32" spans="1:32" ht="18" customHeight="1" x14ac:dyDescent="0.2">
      <c r="A32" s="34">
        <f t="shared" si="2"/>
        <v>4</v>
      </c>
      <c r="B32" s="38">
        <f t="shared" si="18"/>
        <v>45224</v>
      </c>
      <c r="C32" s="39">
        <f t="shared" si="3"/>
        <v>45224</v>
      </c>
      <c r="D32" s="105"/>
      <c r="E32" s="122"/>
      <c r="F32" s="122"/>
      <c r="G32" s="122"/>
      <c r="H32" s="122"/>
      <c r="I32" s="122"/>
      <c r="J32" s="122"/>
      <c r="K32" s="68">
        <f t="shared" si="4"/>
        <v>0</v>
      </c>
      <c r="L32" s="140">
        <f t="shared" si="0"/>
        <v>0</v>
      </c>
      <c r="M32" s="40">
        <f t="shared" si="5"/>
        <v>0</v>
      </c>
      <c r="N32" s="40">
        <f t="shared" si="6"/>
        <v>0</v>
      </c>
      <c r="O32" s="142">
        <f t="shared" si="7"/>
        <v>0</v>
      </c>
      <c r="P32" s="127">
        <f t="shared" si="1"/>
        <v>0.3666666666666667</v>
      </c>
      <c r="Q32" s="134" t="str">
        <f t="shared" si="8"/>
        <v/>
      </c>
      <c r="R32" s="127">
        <f t="shared" si="9"/>
        <v>0.3666666666666667</v>
      </c>
      <c r="S32" s="142">
        <f t="shared" si="17"/>
        <v>0</v>
      </c>
      <c r="T32" s="148">
        <f t="shared" si="10"/>
        <v>0</v>
      </c>
      <c r="U32" s="90"/>
      <c r="V32" s="90"/>
      <c r="W32" s="159" t="str">
        <f>IF(X28-X29=0,0,(IF(X28-X29&lt;0,"Horas Extras","Horas Compensadas")))</f>
        <v>Horas Compensadas</v>
      </c>
      <c r="X32" s="168">
        <f>IF(X28-X29&lt;0,(X28*-1)-(X29*-1),X28-X29)</f>
        <v>6.2773809523809554</v>
      </c>
      <c r="Z32" s="124">
        <f t="shared" si="11"/>
        <v>0</v>
      </c>
      <c r="AA32" s="125">
        <f t="shared" si="12"/>
        <v>0</v>
      </c>
      <c r="AB32" s="124">
        <f t="shared" si="13"/>
        <v>0</v>
      </c>
      <c r="AC32" s="124">
        <f t="shared" si="14"/>
        <v>0</v>
      </c>
      <c r="AD32" s="124">
        <f t="shared" si="15"/>
        <v>0</v>
      </c>
      <c r="AE32" s="181">
        <f t="shared" si="16"/>
        <v>0</v>
      </c>
    </row>
    <row r="33" spans="1:31" ht="18" customHeight="1" x14ac:dyDescent="0.2">
      <c r="A33" s="34">
        <f t="shared" si="2"/>
        <v>5</v>
      </c>
      <c r="B33" s="38">
        <f t="shared" si="18"/>
        <v>45225</v>
      </c>
      <c r="C33" s="39">
        <f t="shared" si="3"/>
        <v>45225</v>
      </c>
      <c r="D33" s="105"/>
      <c r="E33" s="122"/>
      <c r="F33" s="122"/>
      <c r="G33" s="122"/>
      <c r="H33" s="122"/>
      <c r="I33" s="122"/>
      <c r="J33" s="122"/>
      <c r="K33" s="68">
        <f t="shared" si="4"/>
        <v>0</v>
      </c>
      <c r="L33" s="140">
        <f t="shared" si="0"/>
        <v>0</v>
      </c>
      <c r="M33" s="40">
        <f t="shared" si="5"/>
        <v>0</v>
      </c>
      <c r="N33" s="40">
        <f t="shared" si="6"/>
        <v>0</v>
      </c>
      <c r="O33" s="142">
        <f t="shared" si="7"/>
        <v>0</v>
      </c>
      <c r="P33" s="127">
        <f t="shared" si="1"/>
        <v>0.3666666666666667</v>
      </c>
      <c r="Q33" s="134" t="str">
        <f t="shared" si="8"/>
        <v/>
      </c>
      <c r="R33" s="127">
        <f t="shared" si="9"/>
        <v>0.3666666666666667</v>
      </c>
      <c r="S33" s="142">
        <f t="shared" si="17"/>
        <v>0</v>
      </c>
      <c r="T33" s="148">
        <f t="shared" si="10"/>
        <v>0</v>
      </c>
      <c r="U33" s="90"/>
      <c r="V33" s="90"/>
      <c r="W33" s="90"/>
      <c r="X33" s="90"/>
      <c r="Z33" s="124">
        <f t="shared" si="11"/>
        <v>0</v>
      </c>
      <c r="AA33" s="125">
        <f t="shared" si="12"/>
        <v>0</v>
      </c>
      <c r="AB33" s="124">
        <f t="shared" si="13"/>
        <v>0</v>
      </c>
      <c r="AC33" s="124">
        <f t="shared" si="14"/>
        <v>0</v>
      </c>
      <c r="AD33" s="124">
        <f t="shared" si="15"/>
        <v>0</v>
      </c>
      <c r="AE33" s="181">
        <f t="shared" si="16"/>
        <v>0</v>
      </c>
    </row>
    <row r="34" spans="1:31" ht="18" customHeight="1" x14ac:dyDescent="0.2">
      <c r="A34" s="34">
        <f t="shared" si="2"/>
        <v>6</v>
      </c>
      <c r="B34" s="38">
        <f t="shared" si="18"/>
        <v>45226</v>
      </c>
      <c r="C34" s="39">
        <f t="shared" si="3"/>
        <v>45226</v>
      </c>
      <c r="D34" s="105"/>
      <c r="E34" s="122"/>
      <c r="F34" s="122"/>
      <c r="G34" s="122"/>
      <c r="H34" s="122"/>
      <c r="I34" s="122"/>
      <c r="J34" s="122"/>
      <c r="K34" s="68">
        <f t="shared" si="4"/>
        <v>0</v>
      </c>
      <c r="L34" s="140">
        <f t="shared" si="0"/>
        <v>0</v>
      </c>
      <c r="M34" s="40">
        <f t="shared" si="5"/>
        <v>0</v>
      </c>
      <c r="N34" s="40">
        <f t="shared" si="6"/>
        <v>0</v>
      </c>
      <c r="O34" s="142">
        <f t="shared" si="7"/>
        <v>0</v>
      </c>
      <c r="P34" s="127">
        <f t="shared" si="1"/>
        <v>0.3666666666666667</v>
      </c>
      <c r="Q34" s="134" t="str">
        <f t="shared" si="8"/>
        <v/>
      </c>
      <c r="R34" s="127">
        <f t="shared" si="9"/>
        <v>0.3666666666666667</v>
      </c>
      <c r="S34" s="142">
        <f t="shared" si="17"/>
        <v>0</v>
      </c>
      <c r="T34" s="148">
        <f t="shared" si="10"/>
        <v>0</v>
      </c>
      <c r="U34" s="90"/>
      <c r="V34" s="90"/>
      <c r="W34" s="90"/>
      <c r="X34" s="90"/>
      <c r="Z34" s="124">
        <f t="shared" si="11"/>
        <v>0</v>
      </c>
      <c r="AA34" s="125">
        <f t="shared" si="12"/>
        <v>0</v>
      </c>
      <c r="AB34" s="124">
        <f t="shared" si="13"/>
        <v>0</v>
      </c>
      <c r="AC34" s="124">
        <f t="shared" si="14"/>
        <v>0</v>
      </c>
      <c r="AD34" s="124">
        <f t="shared" si="15"/>
        <v>0</v>
      </c>
      <c r="AE34" s="181">
        <f t="shared" si="16"/>
        <v>0</v>
      </c>
    </row>
    <row r="35" spans="1:31" ht="18" customHeight="1" x14ac:dyDescent="0.2">
      <c r="A35" s="34">
        <f t="shared" si="2"/>
        <v>7</v>
      </c>
      <c r="B35" s="38">
        <f t="shared" si="18"/>
        <v>45227</v>
      </c>
      <c r="C35" s="39">
        <f t="shared" si="3"/>
        <v>45227</v>
      </c>
      <c r="D35" s="105"/>
      <c r="E35" s="122"/>
      <c r="F35" s="122"/>
      <c r="G35" s="122"/>
      <c r="H35" s="122"/>
      <c r="I35" s="122"/>
      <c r="J35" s="122"/>
      <c r="K35" s="68">
        <f t="shared" si="4"/>
        <v>0</v>
      </c>
      <c r="L35" s="140">
        <f t="shared" si="0"/>
        <v>0</v>
      </c>
      <c r="M35" s="40">
        <f t="shared" si="5"/>
        <v>0</v>
      </c>
      <c r="N35" s="40">
        <f t="shared" si="6"/>
        <v>0</v>
      </c>
      <c r="O35" s="142">
        <f t="shared" si="7"/>
        <v>0</v>
      </c>
      <c r="P35" s="127">
        <f t="shared" si="1"/>
        <v>0</v>
      </c>
      <c r="Q35" s="134" t="str">
        <f t="shared" si="8"/>
        <v/>
      </c>
      <c r="R35" s="127" t="str">
        <f t="shared" si="9"/>
        <v/>
      </c>
      <c r="S35" s="142">
        <f t="shared" si="17"/>
        <v>0</v>
      </c>
      <c r="T35" s="148">
        <f t="shared" si="10"/>
        <v>0</v>
      </c>
      <c r="U35" s="90"/>
      <c r="V35" s="90"/>
      <c r="W35" s="90"/>
      <c r="X35" s="90"/>
      <c r="Z35" s="124">
        <f t="shared" si="11"/>
        <v>0</v>
      </c>
      <c r="AA35" s="125">
        <f t="shared" si="12"/>
        <v>0</v>
      </c>
      <c r="AB35" s="124">
        <f t="shared" si="13"/>
        <v>0</v>
      </c>
      <c r="AC35" s="124">
        <f t="shared" si="14"/>
        <v>0</v>
      </c>
      <c r="AD35" s="124">
        <f t="shared" si="15"/>
        <v>0</v>
      </c>
      <c r="AE35" s="181">
        <f t="shared" si="16"/>
        <v>0</v>
      </c>
    </row>
    <row r="36" spans="1:31" ht="18" customHeight="1" x14ac:dyDescent="0.2">
      <c r="A36" s="34">
        <f t="shared" si="2"/>
        <v>1</v>
      </c>
      <c r="B36" s="38">
        <f>IF(B35="","",IF(B35&gt;=fim,"",B35+1))</f>
        <v>45228</v>
      </c>
      <c r="C36" s="39">
        <f t="shared" si="3"/>
        <v>45228</v>
      </c>
      <c r="D36" s="105"/>
      <c r="E36" s="122"/>
      <c r="F36" s="122"/>
      <c r="G36" s="122"/>
      <c r="H36" s="122"/>
      <c r="I36" s="122"/>
      <c r="J36" s="122"/>
      <c r="K36" s="68">
        <f t="shared" si="4"/>
        <v>0</v>
      </c>
      <c r="L36" s="140">
        <f t="shared" si="0"/>
        <v>0</v>
      </c>
      <c r="M36" s="40">
        <f t="shared" si="5"/>
        <v>0</v>
      </c>
      <c r="N36" s="40">
        <f t="shared" si="6"/>
        <v>0</v>
      </c>
      <c r="O36" s="142">
        <f t="shared" si="7"/>
        <v>0</v>
      </c>
      <c r="P36" s="127">
        <f t="shared" si="1"/>
        <v>0</v>
      </c>
      <c r="Q36" s="134" t="str">
        <f t="shared" si="8"/>
        <v/>
      </c>
      <c r="R36" s="127" t="str">
        <f t="shared" si="9"/>
        <v/>
      </c>
      <c r="S36" s="142">
        <f t="shared" si="17"/>
        <v>0</v>
      </c>
      <c r="T36" s="148">
        <f t="shared" si="10"/>
        <v>0</v>
      </c>
      <c r="U36" s="90"/>
      <c r="V36" s="90"/>
      <c r="W36" s="90"/>
      <c r="X36" s="90"/>
      <c r="Z36" s="124">
        <f t="shared" si="11"/>
        <v>0</v>
      </c>
      <c r="AA36" s="125">
        <f t="shared" si="12"/>
        <v>0</v>
      </c>
      <c r="AB36" s="124">
        <f t="shared" si="13"/>
        <v>0</v>
      </c>
      <c r="AC36" s="124">
        <f t="shared" si="14"/>
        <v>0</v>
      </c>
      <c r="AD36" s="124">
        <f t="shared" si="15"/>
        <v>0</v>
      </c>
      <c r="AE36" s="181">
        <f t="shared" si="16"/>
        <v>0</v>
      </c>
    </row>
    <row r="37" spans="1:31" ht="18" customHeight="1" x14ac:dyDescent="0.2">
      <c r="A37" s="34">
        <f t="shared" si="2"/>
        <v>2</v>
      </c>
      <c r="B37" s="38">
        <f>IF(B36="","",IF(B36&gt;=fim,"",B36+1))</f>
        <v>45229</v>
      </c>
      <c r="C37" s="39">
        <f t="shared" si="3"/>
        <v>45229</v>
      </c>
      <c r="D37" s="105"/>
      <c r="E37" s="122"/>
      <c r="F37" s="122"/>
      <c r="G37" s="122"/>
      <c r="H37" s="122"/>
      <c r="I37" s="122"/>
      <c r="J37" s="122"/>
      <c r="K37" s="68">
        <f t="shared" si="4"/>
        <v>0</v>
      </c>
      <c r="L37" s="140">
        <f t="shared" si="0"/>
        <v>0</v>
      </c>
      <c r="M37" s="40">
        <f t="shared" si="5"/>
        <v>0</v>
      </c>
      <c r="N37" s="40">
        <f t="shared" si="6"/>
        <v>0</v>
      </c>
      <c r="O37" s="142">
        <f t="shared" si="7"/>
        <v>0</v>
      </c>
      <c r="P37" s="127">
        <f t="shared" si="1"/>
        <v>0.3666666666666667</v>
      </c>
      <c r="Q37" s="134" t="str">
        <f t="shared" si="8"/>
        <v/>
      </c>
      <c r="R37" s="127">
        <f t="shared" si="9"/>
        <v>0.3666666666666667</v>
      </c>
      <c r="S37" s="142">
        <f t="shared" si="17"/>
        <v>0</v>
      </c>
      <c r="T37" s="148">
        <f t="shared" si="10"/>
        <v>0</v>
      </c>
      <c r="U37" s="90"/>
      <c r="V37" s="90"/>
      <c r="W37" s="90"/>
      <c r="X37" s="90"/>
      <c r="Z37" s="124">
        <f t="shared" si="11"/>
        <v>0</v>
      </c>
      <c r="AA37" s="125">
        <f t="shared" si="12"/>
        <v>0</v>
      </c>
      <c r="AB37" s="124">
        <f t="shared" si="13"/>
        <v>0</v>
      </c>
      <c r="AC37" s="124">
        <f t="shared" si="14"/>
        <v>0</v>
      </c>
      <c r="AD37" s="124">
        <f t="shared" si="15"/>
        <v>0</v>
      </c>
      <c r="AE37" s="181">
        <f t="shared" si="16"/>
        <v>0</v>
      </c>
    </row>
    <row r="38" spans="1:31" ht="18" customHeight="1" x14ac:dyDescent="0.2">
      <c r="A38" s="34">
        <f t="shared" si="2"/>
        <v>3</v>
      </c>
      <c r="B38" s="41">
        <f>IF(B37="","",IF(B37&gt;=fim,"",B37+1))</f>
        <v>45230</v>
      </c>
      <c r="C38" s="42">
        <f t="shared" si="3"/>
        <v>45230</v>
      </c>
      <c r="D38" s="106"/>
      <c r="E38" s="122"/>
      <c r="F38" s="122"/>
      <c r="G38" s="122"/>
      <c r="H38" s="122"/>
      <c r="I38" s="123"/>
      <c r="J38" s="123"/>
      <c r="K38" s="75">
        <f t="shared" si="4"/>
        <v>0</v>
      </c>
      <c r="L38" s="187">
        <f t="shared" si="0"/>
        <v>0</v>
      </c>
      <c r="M38" s="43">
        <f t="shared" si="5"/>
        <v>0</v>
      </c>
      <c r="N38" s="43">
        <f t="shared" si="6"/>
        <v>0</v>
      </c>
      <c r="O38" s="44">
        <f>IF(B38="","",MOD((AA38-Z38)+(AC38-AB38)+(AE38-AD38),1)+M38)</f>
        <v>0</v>
      </c>
      <c r="P38" s="126">
        <f t="shared" si="1"/>
        <v>0.3666666666666667</v>
      </c>
      <c r="Q38" s="134" t="str">
        <f t="shared" si="8"/>
        <v/>
      </c>
      <c r="R38" s="127">
        <f t="shared" si="9"/>
        <v>0.3666666666666667</v>
      </c>
      <c r="S38" s="44">
        <f>IF(B38="","",IF(AND(WEEKDAY(B38,1)=7,P38=0,D38&lt;&gt;"F"),MAX(0,O38-P38),IF(P38=0,0,MAX(0,O38-P38))))</f>
        <v>0</v>
      </c>
      <c r="T38" s="45">
        <f>IF(B38="","",IF(AND(WEEKDAY(B38,1)=7,P38=0,D38="F"),0,IF(P38=0,O38,0)))</f>
        <v>0</v>
      </c>
      <c r="U38" s="90"/>
      <c r="V38" s="90"/>
      <c r="W38" s="90"/>
      <c r="X38" s="90"/>
      <c r="Z38" s="124">
        <f t="shared" si="11"/>
        <v>0</v>
      </c>
      <c r="AA38" s="125">
        <f t="shared" si="12"/>
        <v>0</v>
      </c>
      <c r="AB38" s="124">
        <f t="shared" si="13"/>
        <v>0</v>
      </c>
      <c r="AC38" s="124">
        <f t="shared" si="14"/>
        <v>0</v>
      </c>
      <c r="AD38" s="124">
        <f t="shared" si="15"/>
        <v>0</v>
      </c>
      <c r="AE38" s="181">
        <f t="shared" si="16"/>
        <v>0</v>
      </c>
    </row>
    <row r="39" spans="1:31" ht="18" customHeight="1" x14ac:dyDescent="0.2">
      <c r="B39" s="54" t="s">
        <v>24</v>
      </c>
      <c r="C39" s="54" t="s">
        <v>25</v>
      </c>
      <c r="D39" s="54"/>
      <c r="E39" s="54" t="s">
        <v>30</v>
      </c>
      <c r="F39" s="54" t="s">
        <v>31</v>
      </c>
      <c r="G39" s="54" t="s">
        <v>32</v>
      </c>
      <c r="H39" s="54" t="s">
        <v>33</v>
      </c>
      <c r="I39" s="61"/>
      <c r="J39" s="61"/>
      <c r="K39" s="61" t="s">
        <v>34</v>
      </c>
      <c r="L39" s="54" t="s">
        <v>35</v>
      </c>
      <c r="M39" s="63" t="s">
        <v>36</v>
      </c>
      <c r="N39" s="64">
        <f>SUM(N8:N38)</f>
        <v>0.38095238095238104</v>
      </c>
      <c r="O39" s="64">
        <f>SUM(O8:O38)</f>
        <v>1.4226190476190479</v>
      </c>
      <c r="P39" s="59" t="s">
        <v>36</v>
      </c>
      <c r="Q39" s="64">
        <f>SUM(Q8:Q38)</f>
        <v>0</v>
      </c>
      <c r="R39" s="64">
        <f>SUM(R7:R38)</f>
        <v>6.3833333333333364</v>
      </c>
      <c r="S39" s="64">
        <f>SUM(S7:S38)</f>
        <v>0.10595238095238102</v>
      </c>
      <c r="T39" s="64">
        <f>SUM(T8:T38)</f>
        <v>0</v>
      </c>
      <c r="U39" s="91"/>
      <c r="V39" s="91"/>
      <c r="W39" s="91"/>
      <c r="X39" s="91"/>
    </row>
    <row r="40" spans="1:31" ht="18" customHeight="1" x14ac:dyDescent="0.2">
      <c r="B40" s="55">
        <f>B8</f>
        <v>45200</v>
      </c>
      <c r="C40" s="55">
        <f>MAX(B8:B38)</f>
        <v>45230</v>
      </c>
      <c r="D40" s="55"/>
      <c r="E40" s="56">
        <f>COUNTIF(C8:C38,"feriado")</f>
        <v>1</v>
      </c>
      <c r="F40" s="57">
        <f ca="1">SUMPRODUCT((WEEKDAY(ROW(INDIRECT($B40&amp;":"&amp;$C40)))=1)*(COUNTIF(fer,ROW(INDIRECT($B40&amp;":"&amp;$C40)))=0))</f>
        <v>5</v>
      </c>
      <c r="G40" s="57">
        <f>C40-B40+1</f>
        <v>31</v>
      </c>
      <c r="H40" s="57">
        <f ca="1">G40-K40</f>
        <v>25</v>
      </c>
      <c r="I40" s="60"/>
      <c r="J40" s="60"/>
      <c r="K40" s="60">
        <f ca="1">E40+F40</f>
        <v>6</v>
      </c>
      <c r="L40" s="65" t="str">
        <f ca="1">H40&amp;"/"&amp;K40</f>
        <v>25/6</v>
      </c>
      <c r="M40" s="66" t="s">
        <v>37</v>
      </c>
      <c r="N40" s="58">
        <f>N39*24</f>
        <v>9.1428571428571459</v>
      </c>
      <c r="O40" s="58">
        <f>O39*24</f>
        <v>34.142857142857153</v>
      </c>
      <c r="P40" s="59" t="s">
        <v>37</v>
      </c>
      <c r="Q40" s="58">
        <f t="shared" ref="Q40:R40" si="19">Q39*24</f>
        <v>0</v>
      </c>
      <c r="R40" s="58">
        <f t="shared" si="19"/>
        <v>153.20000000000007</v>
      </c>
      <c r="S40" s="58">
        <f>S39*24</f>
        <v>2.5428571428571445</v>
      </c>
      <c r="T40" s="58">
        <f>T39*24</f>
        <v>0</v>
      </c>
      <c r="U40" s="92"/>
      <c r="V40" s="92"/>
      <c r="W40" s="92"/>
      <c r="X40" s="92"/>
    </row>
    <row r="41" spans="1:31" ht="18" customHeight="1" x14ac:dyDescent="0.2">
      <c r="B41" s="114" t="str">
        <f>IF(dia_f="","",DATE(ano_p,mês_p,1))</f>
        <v/>
      </c>
      <c r="C41" s="115" t="str">
        <f>IF(dia_f="","",DATE(ano_p,mês_p+1,0))</f>
        <v/>
      </c>
      <c r="D41" s="67"/>
      <c r="E41" s="56" t="str">
        <f>IF(B41="","",SUMPRODUCT(((WEEKDAY(fer)&gt;1))*(fer&gt;=B41)*(fer&lt;=C41)))</f>
        <v/>
      </c>
      <c r="F41" s="57" t="str">
        <f ca="1">IF(B41="","",SUMPRODUCT((WEEKDAY(ROW(INDIRECT($B41&amp;":"&amp;$C41)))=1)*1))</f>
        <v/>
      </c>
      <c r="G41" s="107" t="str">
        <f>IF(B41="","",DAY(C41))</f>
        <v/>
      </c>
      <c r="H41" s="107" t="str">
        <f ca="1">IF(B41="","",SUMPRODUCT((WEEKDAY(ROW(INDIRECT(B41&amp;":"&amp;C41)))&gt;1)*(COUNTIF(fer,ROW(INDIRECT(B41&amp;":"&amp;C41)))=0)))</f>
        <v/>
      </c>
      <c r="I41" s="107"/>
      <c r="J41" s="107"/>
      <c r="K41" s="60" t="str">
        <f>IF(B41="","",E41+F41)</f>
        <v/>
      </c>
      <c r="L41" s="65" t="str">
        <f>IF(B41="","",H41&amp;"/"&amp;K41)</f>
        <v/>
      </c>
      <c r="M41" s="67" t="s">
        <v>38</v>
      </c>
      <c r="N41" s="58">
        <f ca="1">N40/$H$40*$K$40</f>
        <v>2.1942857142857148</v>
      </c>
      <c r="O41" s="152"/>
      <c r="P41" s="153"/>
      <c r="Q41" s="153"/>
      <c r="R41" s="153"/>
      <c r="S41" s="154"/>
      <c r="T41" s="154"/>
      <c r="U41" s="92"/>
      <c r="V41" s="92"/>
      <c r="W41" s="92"/>
      <c r="X41" s="92"/>
    </row>
    <row r="42" spans="1:31" ht="18" customHeight="1" x14ac:dyDescent="0.2">
      <c r="M42" s="117" t="str">
        <f>IF(B41="","","Dsr mês:")</f>
        <v/>
      </c>
      <c r="N42" s="188" t="str">
        <f>IF(B41="","",N40/H41*K41)</f>
        <v/>
      </c>
      <c r="O42" s="206" t="str">
        <f>IF(B41="","","Dsr mês:")</f>
        <v/>
      </c>
      <c r="P42" s="206"/>
      <c r="Q42" s="151"/>
      <c r="R42" s="151"/>
      <c r="S42" s="92" t="str">
        <f>IF(B41="","",S40/$H$41*$K$41)</f>
        <v/>
      </c>
      <c r="T42" s="92" t="str">
        <f>IF(B41="","",T40/$H$41*$K$41)</f>
        <v/>
      </c>
    </row>
    <row r="44" spans="1:31" ht="18.75" x14ac:dyDescent="0.2">
      <c r="C44" s="70"/>
      <c r="D44" s="120"/>
      <c r="H44" s="1"/>
      <c r="I44" s="1"/>
      <c r="J44" s="1"/>
      <c r="K44" s="1"/>
      <c r="L44" s="1"/>
      <c r="M44" s="1"/>
      <c r="N44" s="1"/>
      <c r="P44" s="197"/>
    </row>
    <row r="45" spans="1:31" x14ac:dyDescent="0.2">
      <c r="D45" s="135"/>
    </row>
    <row r="47" spans="1:31" x14ac:dyDescent="0.2">
      <c r="D47" s="136"/>
    </row>
    <row r="48" spans="1:31" x14ac:dyDescent="0.2">
      <c r="D48" s="136"/>
    </row>
    <row r="116" spans="4:24" x14ac:dyDescent="0.2">
      <c r="W116" s="73">
        <f>IF(OR(dia_f="",dia_f=1),DATE(ano_p,mês_p,1),DATE(ano_p,mês_p-1,dia_f+1))</f>
        <v>45200</v>
      </c>
      <c r="X116" s="69" t="s">
        <v>39</v>
      </c>
    </row>
    <row r="117" spans="4:24" x14ac:dyDescent="0.2">
      <c r="W117" s="73">
        <f>IF(OR(dia_f="",dia_f=1),DATE(ano_p,mês_p+1,0),(DATE($X$22,mês_p,dia_f)))</f>
        <v>45230</v>
      </c>
      <c r="X117" s="69" t="s">
        <v>40</v>
      </c>
    </row>
    <row r="119" spans="4:24" x14ac:dyDescent="0.2">
      <c r="D119" s="69" t="s">
        <v>41</v>
      </c>
      <c r="F119" s="69" t="s">
        <v>42</v>
      </c>
    </row>
    <row r="120" spans="4:24" x14ac:dyDescent="0.2">
      <c r="D120" s="116">
        <v>1</v>
      </c>
      <c r="F120" s="118">
        <v>2020</v>
      </c>
    </row>
    <row r="121" spans="4:24" x14ac:dyDescent="0.2">
      <c r="D121" s="119">
        <v>2</v>
      </c>
      <c r="F121" s="118">
        <v>2021</v>
      </c>
    </row>
    <row r="122" spans="4:24" x14ac:dyDescent="0.2">
      <c r="D122" s="119">
        <v>3</v>
      </c>
      <c r="F122" s="118">
        <v>2022</v>
      </c>
    </row>
    <row r="123" spans="4:24" x14ac:dyDescent="0.2">
      <c r="D123" s="120">
        <v>4</v>
      </c>
      <c r="F123" s="118">
        <v>2023</v>
      </c>
    </row>
    <row r="124" spans="4:24" x14ac:dyDescent="0.2">
      <c r="D124" s="120">
        <v>5</v>
      </c>
      <c r="F124" s="118">
        <v>2024</v>
      </c>
    </row>
    <row r="125" spans="4:24" x14ac:dyDescent="0.2">
      <c r="D125" s="120">
        <v>6</v>
      </c>
      <c r="F125" s="118">
        <v>2025</v>
      </c>
    </row>
    <row r="126" spans="4:24" x14ac:dyDescent="0.2">
      <c r="D126" s="120">
        <v>7</v>
      </c>
      <c r="F126" s="118">
        <v>2026</v>
      </c>
    </row>
    <row r="127" spans="4:24" x14ac:dyDescent="0.2">
      <c r="D127" s="120">
        <v>8</v>
      </c>
      <c r="F127" s="118">
        <v>2027</v>
      </c>
    </row>
    <row r="128" spans="4:24" x14ac:dyDescent="0.2">
      <c r="D128" s="120">
        <v>9</v>
      </c>
      <c r="F128" s="118">
        <v>2028</v>
      </c>
    </row>
    <row r="129" spans="4:6" x14ac:dyDescent="0.2">
      <c r="D129" s="120">
        <v>10</v>
      </c>
      <c r="F129" s="118">
        <v>2029</v>
      </c>
    </row>
    <row r="130" spans="4:6" x14ac:dyDescent="0.2">
      <c r="D130" s="120">
        <v>11</v>
      </c>
      <c r="F130" s="118">
        <v>2030</v>
      </c>
    </row>
    <row r="131" spans="4:6" x14ac:dyDescent="0.2">
      <c r="D131" s="120">
        <v>12</v>
      </c>
      <c r="F131" s="118">
        <v>2031</v>
      </c>
    </row>
    <row r="150" spans="2:4" x14ac:dyDescent="0.2">
      <c r="B150" s="69"/>
      <c r="C150" s="70"/>
      <c r="D150" s="70"/>
    </row>
    <row r="151" spans="2:4" x14ac:dyDescent="0.2">
      <c r="B151" s="69"/>
      <c r="C151" s="70"/>
      <c r="D151" s="70"/>
    </row>
  </sheetData>
  <mergeCells count="9">
    <mergeCell ref="Z6:AE6"/>
    <mergeCell ref="H2:H3"/>
    <mergeCell ref="S2:S4"/>
    <mergeCell ref="O42:P42"/>
    <mergeCell ref="B5:C5"/>
    <mergeCell ref="W17:X17"/>
    <mergeCell ref="W20:X20"/>
    <mergeCell ref="B7:C7"/>
    <mergeCell ref="W5:X6"/>
  </mergeCells>
  <phoneticPr fontId="8" type="noConversion"/>
  <conditionalFormatting sqref="B8:C38">
    <cfRule type="expression" dxfId="96" priority="39">
      <formula>WEEKDAY($B8,2)=7</formula>
    </cfRule>
    <cfRule type="expression" dxfId="95" priority="40">
      <formula>COUNTIF(fer,$B8)&gt;0</formula>
    </cfRule>
  </conditionalFormatting>
  <conditionalFormatting sqref="D36:D38">
    <cfRule type="cellIs" dxfId="94" priority="34" operator="equal">
      <formula>"F"</formula>
    </cfRule>
  </conditionalFormatting>
  <conditionalFormatting sqref="M42">
    <cfRule type="expression" dxfId="93" priority="33">
      <formula>$B$41&lt;&gt;""</formula>
    </cfRule>
  </conditionalFormatting>
  <conditionalFormatting sqref="N42">
    <cfRule type="expression" dxfId="92" priority="32">
      <formula>$B$41&lt;&gt;""</formula>
    </cfRule>
  </conditionalFormatting>
  <conditionalFormatting sqref="O42:R42">
    <cfRule type="expression" dxfId="91" priority="31">
      <formula>$B$41&lt;&gt;""</formula>
    </cfRule>
  </conditionalFormatting>
  <conditionalFormatting sqref="S42:T42">
    <cfRule type="expression" dxfId="90" priority="29">
      <formula>$B$41&lt;&gt;""</formula>
    </cfRule>
  </conditionalFormatting>
  <conditionalFormatting sqref="K8:T38">
    <cfRule type="expression" dxfId="89" priority="26">
      <formula>$D8="F"</formula>
    </cfRule>
  </conditionalFormatting>
  <conditionalFormatting sqref="Q8:Q38">
    <cfRule type="expression" dxfId="88" priority="25">
      <formula>Q8&gt;0</formula>
    </cfRule>
  </conditionalFormatting>
  <conditionalFormatting sqref="R7:R38">
    <cfRule type="expression" dxfId="87" priority="24">
      <formula>R7&gt;0</formula>
    </cfRule>
  </conditionalFormatting>
  <conditionalFormatting sqref="D8:D35">
    <cfRule type="cellIs" dxfId="86" priority="22" operator="equal">
      <formula>"F"</formula>
    </cfRule>
  </conditionalFormatting>
  <conditionalFormatting sqref="E26:J26 I8:J18 I20:J25 G33:J33 I27:J32 I34:J35 G19:J19">
    <cfRule type="expression" dxfId="85" priority="21">
      <formula>$D8="F"</formula>
    </cfRule>
  </conditionalFormatting>
  <conditionalFormatting sqref="E20:H24">
    <cfRule type="expression" dxfId="84" priority="20">
      <formula>$D20="F"</formula>
    </cfRule>
  </conditionalFormatting>
  <conditionalFormatting sqref="E13:H13">
    <cfRule type="expression" dxfId="83" priority="17">
      <formula>$D13="F"</formula>
    </cfRule>
  </conditionalFormatting>
  <conditionalFormatting sqref="E15:H17">
    <cfRule type="expression" dxfId="82" priority="16">
      <formula>$D15="F"</formula>
    </cfRule>
  </conditionalFormatting>
  <conditionalFormatting sqref="E25:H25">
    <cfRule type="expression" dxfId="81" priority="14">
      <formula>$D25="F"</formula>
    </cfRule>
  </conditionalFormatting>
  <conditionalFormatting sqref="E27:H31">
    <cfRule type="expression" dxfId="80" priority="13">
      <formula>$D27="F"</formula>
    </cfRule>
  </conditionalFormatting>
  <conditionalFormatting sqref="E32:H32">
    <cfRule type="expression" dxfId="79" priority="12">
      <formula>$D32="F"</formula>
    </cfRule>
  </conditionalFormatting>
  <conditionalFormatting sqref="E34:H36">
    <cfRule type="expression" dxfId="78" priority="11">
      <formula>$D34="F"</formula>
    </cfRule>
  </conditionalFormatting>
  <conditionalFormatting sqref="E37:H37">
    <cfRule type="expression" dxfId="77" priority="10">
      <formula>$D37="F"</formula>
    </cfRule>
  </conditionalFormatting>
  <conditionalFormatting sqref="E38:H38">
    <cfRule type="expression" dxfId="76" priority="9">
      <formula>$D38="F"</formula>
    </cfRule>
  </conditionalFormatting>
  <conditionalFormatting sqref="E33:F33">
    <cfRule type="expression" dxfId="75" priority="8">
      <formula>$D33="F"</formula>
    </cfRule>
  </conditionalFormatting>
  <conditionalFormatting sqref="E19:F19">
    <cfRule type="expression" dxfId="74" priority="7">
      <formula>$D19="F"</formula>
    </cfRule>
  </conditionalFormatting>
  <conditionalFormatting sqref="E18:H18">
    <cfRule type="expression" dxfId="73" priority="6">
      <formula>$D18="F"</formula>
    </cfRule>
  </conditionalFormatting>
  <conditionalFormatting sqref="E14:H14">
    <cfRule type="expression" dxfId="72" priority="5">
      <formula>$D14="F"</formula>
    </cfRule>
  </conditionalFormatting>
  <conditionalFormatting sqref="G12:H12">
    <cfRule type="expression" dxfId="71" priority="4">
      <formula>$D12="F"</formula>
    </cfRule>
  </conditionalFormatting>
  <conditionalFormatting sqref="E8:H10">
    <cfRule type="expression" dxfId="70" priority="3">
      <formula>$D8="F"</formula>
    </cfRule>
  </conditionalFormatting>
  <conditionalFormatting sqref="E12:F12">
    <cfRule type="expression" dxfId="69" priority="2">
      <formula>$D12="F"</formula>
    </cfRule>
  </conditionalFormatting>
  <conditionalFormatting sqref="E11:H11">
    <cfRule type="expression" dxfId="68" priority="1">
      <formula>$D11="F"</formula>
    </cfRule>
  </conditionalFormatting>
  <dataValidations count="3">
    <dataValidation type="list" allowBlank="1" showInputMessage="1" showErrorMessage="1" sqref="X23" xr:uid="{927661FA-3DA9-4435-96CC-EE59BA72DB48}">
      <formula1>$D$120:$D$131</formula1>
    </dataValidation>
    <dataValidation type="list" allowBlank="1" showInputMessage="1" showErrorMessage="1" sqref="X22" xr:uid="{C36EA988-3486-46C6-9995-DEE3CEA00450}">
      <formula1>$F$120:$F$131</formula1>
    </dataValidation>
    <dataValidation type="custom" allowBlank="1" showInputMessage="1" showErrorMessage="1" sqref="E8:J38" xr:uid="{316185B1-68D9-4FB2-9642-89D6B26FC173}">
      <formula1>OR(E8=2400,TEXT(E8,"00\:00")=TEXT(Z8,"hh:mm"))</formula1>
    </dataValidation>
  </dataValidations>
  <pageMargins left="0.75" right="0.75" top="1" bottom="1" header="0.49212598499999999" footer="0.49212598499999999"/>
  <pageSetup paperSize="9" scale="83" orientation="landscape" r:id="rId1"/>
  <headerFooter alignWithMargins="0"/>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Botão 7">
              <controlPr defaultSize="0" print="0" autoFill="0" autoPict="0" macro="[0]!Limpar_Click">
                <anchor moveWithCells="1" sizeWithCells="1">
                  <from>
                    <xdr:col>22</xdr:col>
                    <xdr:colOff>76200</xdr:colOff>
                    <xdr:row>33</xdr:row>
                    <xdr:rowOff>38100</xdr:rowOff>
                  </from>
                  <to>
                    <xdr:col>23</xdr:col>
                    <xdr:colOff>438150</xdr:colOff>
                    <xdr:row>35</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3">
    <tabColor theme="6"/>
  </sheetPr>
  <dimension ref="A1:AF151"/>
  <sheetViews>
    <sheetView showGridLines="0" zoomScaleNormal="100" workbookViewId="0">
      <selection activeCell="K123" sqref="K123"/>
    </sheetView>
  </sheetViews>
  <sheetFormatPr defaultRowHeight="12.75" x14ac:dyDescent="0.2"/>
  <cols>
    <col min="1" max="1" width="2.7109375" customWidth="1"/>
    <col min="2" max="2" width="12.140625" customWidth="1"/>
    <col min="3" max="3" width="12.42578125" customWidth="1"/>
    <col min="4" max="4" width="6.85546875" customWidth="1"/>
    <col min="5" max="5" width="9.42578125" customWidth="1"/>
    <col min="6" max="7" width="9.42578125" bestFit="1" customWidth="1"/>
    <col min="8" max="8" width="10.140625" bestFit="1" customWidth="1"/>
    <col min="9" max="10" width="10.140625" customWidth="1"/>
    <col min="11" max="14" width="9.42578125" customWidth="1"/>
    <col min="15" max="17" width="11.28515625" customWidth="1"/>
    <col min="18" max="18" width="9.28515625" customWidth="1"/>
    <col min="19" max="19" width="11.28515625" customWidth="1"/>
    <col min="21" max="22" width="0.85546875" customWidth="1"/>
    <col min="23" max="23" width="24" customWidth="1"/>
    <col min="24" max="24" width="8.42578125" customWidth="1"/>
    <col min="25" max="25" width="6.7109375" customWidth="1"/>
    <col min="26" max="31" width="9.7109375" customWidth="1"/>
    <col min="32" max="32" width="26.85546875" customWidth="1"/>
  </cols>
  <sheetData>
    <row r="1" spans="1:32" ht="18" customHeight="1" x14ac:dyDescent="0.2">
      <c r="E1" s="182" t="str">
        <f>CHOOSE(MONTH(W117),"Janeiro","Fevereiro","Março","Abril","Maio","Junho","Julho","Agosto","Setembro","Outubro","Novembro","Dezembro")</f>
        <v>Novembro</v>
      </c>
      <c r="F1" s="69"/>
      <c r="H1" s="177"/>
      <c r="I1" s="177"/>
      <c r="J1" s="177"/>
    </row>
    <row r="2" spans="1:32" ht="15" customHeight="1" x14ac:dyDescent="0.2">
      <c r="D2" s="110"/>
      <c r="E2" s="121"/>
      <c r="H2" s="203"/>
      <c r="I2" s="179"/>
      <c r="J2" s="179"/>
      <c r="L2" s="2"/>
      <c r="S2" s="217"/>
      <c r="Z2" s="137"/>
      <c r="AA2" s="84"/>
      <c r="AB2" s="84"/>
      <c r="AC2" s="84"/>
      <c r="AD2" s="84"/>
    </row>
    <row r="3" spans="1:32" ht="15" customHeight="1" x14ac:dyDescent="0.2">
      <c r="D3" s="110"/>
      <c r="E3" s="121"/>
      <c r="H3" s="204"/>
      <c r="I3" s="180"/>
      <c r="J3" s="180"/>
      <c r="L3" s="3"/>
      <c r="M3" s="72"/>
      <c r="S3" s="217"/>
      <c r="Z3" s="84"/>
      <c r="AA3" s="84"/>
      <c r="AB3" s="84"/>
      <c r="AC3" s="84"/>
      <c r="AD3" s="84"/>
    </row>
    <row r="4" spans="1:32" ht="15" customHeight="1" x14ac:dyDescent="0.2">
      <c r="S4" s="217"/>
      <c r="AA4" s="146"/>
      <c r="AB4" s="146"/>
      <c r="AC4" s="146"/>
      <c r="AD4" s="84"/>
    </row>
    <row r="5" spans="1:32" ht="24.95" customHeight="1" x14ac:dyDescent="0.2">
      <c r="B5" s="218" t="s">
        <v>80</v>
      </c>
      <c r="C5" s="219"/>
      <c r="D5" s="185" t="str">
        <f>Outubro!D5</f>
        <v>Alexandre José de Souza Silva</v>
      </c>
      <c r="E5" s="191"/>
      <c r="F5" s="192"/>
      <c r="G5" s="144"/>
      <c r="H5" s="145"/>
      <c r="I5" s="195" t="s">
        <v>85</v>
      </c>
      <c r="J5" s="143"/>
      <c r="K5" s="144"/>
      <c r="L5" s="144"/>
      <c r="M5" s="144"/>
      <c r="N5" s="145"/>
      <c r="O5" s="196" t="s">
        <v>86</v>
      </c>
      <c r="P5" s="143"/>
      <c r="Q5" s="144"/>
      <c r="R5" s="144"/>
      <c r="S5" s="144"/>
      <c r="T5" s="145"/>
      <c r="Z5" s="146"/>
      <c r="AA5" s="146"/>
      <c r="AB5" s="146"/>
      <c r="AC5" s="146"/>
    </row>
    <row r="6" spans="1:32" ht="25.5" customHeight="1" x14ac:dyDescent="0.2">
      <c r="B6" s="74" t="s">
        <v>1</v>
      </c>
      <c r="C6" s="74" t="s">
        <v>2</v>
      </c>
      <c r="D6" s="74" t="s">
        <v>3</v>
      </c>
      <c r="E6" s="74" t="s">
        <v>4</v>
      </c>
      <c r="F6" s="74" t="s">
        <v>5</v>
      </c>
      <c r="G6" s="74" t="s">
        <v>4</v>
      </c>
      <c r="H6" s="74" t="s">
        <v>5</v>
      </c>
      <c r="I6" s="74" t="s">
        <v>4</v>
      </c>
      <c r="J6" s="74" t="s">
        <v>5</v>
      </c>
      <c r="K6" s="74" t="s">
        <v>6</v>
      </c>
      <c r="L6" s="74" t="s">
        <v>7</v>
      </c>
      <c r="M6" s="74" t="s">
        <v>8</v>
      </c>
      <c r="N6" s="74" t="s">
        <v>84</v>
      </c>
      <c r="O6" s="74" t="s">
        <v>9</v>
      </c>
      <c r="P6" s="74" t="s">
        <v>10</v>
      </c>
      <c r="Q6" s="74" t="s">
        <v>71</v>
      </c>
      <c r="R6" s="74" t="s">
        <v>70</v>
      </c>
      <c r="S6" s="74" t="s">
        <v>11</v>
      </c>
      <c r="T6" s="74" t="s">
        <v>12</v>
      </c>
      <c r="W6" s="220" t="s">
        <v>13</v>
      </c>
      <c r="X6" s="221"/>
      <c r="Z6" s="200" t="s">
        <v>0</v>
      </c>
      <c r="AA6" s="201"/>
      <c r="AB6" s="201"/>
      <c r="AC6" s="201"/>
      <c r="AD6" s="201"/>
      <c r="AE6" s="202"/>
    </row>
    <row r="7" spans="1:32" ht="18" customHeight="1" x14ac:dyDescent="0.2">
      <c r="B7" s="211" t="s">
        <v>73</v>
      </c>
      <c r="C7" s="212"/>
      <c r="D7" s="143"/>
      <c r="E7" s="144"/>
      <c r="F7" s="144"/>
      <c r="G7" s="144"/>
      <c r="H7" s="144"/>
      <c r="I7" s="144"/>
      <c r="J7" s="144"/>
      <c r="K7" s="144"/>
      <c r="L7" s="144"/>
      <c r="M7" s="144"/>
      <c r="N7" s="144"/>
      <c r="O7" s="144"/>
      <c r="P7" s="144"/>
      <c r="Q7" s="145"/>
      <c r="R7" s="156">
        <f>IF(Outubro!W32="Horas Compensadas",Outubro!X32,0)</f>
        <v>6.2773809523809554</v>
      </c>
      <c r="S7" s="149">
        <f>IF(Outubro!W32="Horas Extras",Outubro!X32,0)</f>
        <v>0</v>
      </c>
      <c r="T7" s="149"/>
      <c r="U7" s="93"/>
      <c r="V7" s="147"/>
      <c r="W7" s="222"/>
      <c r="X7" s="223"/>
      <c r="Y7" s="129"/>
      <c r="Z7" s="74" t="s">
        <v>4</v>
      </c>
      <c r="AA7" s="74" t="s">
        <v>5</v>
      </c>
      <c r="AB7" s="74" t="s">
        <v>4</v>
      </c>
      <c r="AC7" s="74" t="s">
        <v>5</v>
      </c>
      <c r="AD7" s="74" t="s">
        <v>4</v>
      </c>
      <c r="AE7" s="74" t="s">
        <v>5</v>
      </c>
      <c r="AF7" s="71"/>
    </row>
    <row r="8" spans="1:32" ht="18" customHeight="1" x14ac:dyDescent="0.2">
      <c r="A8" s="34">
        <f>IF(B8="","",IF(C8&lt;&gt;"feriado",WEEKDAY(B8),8))</f>
        <v>4</v>
      </c>
      <c r="B8" s="36">
        <f>EDATE(inicio,1)</f>
        <v>45231</v>
      </c>
      <c r="C8" s="37">
        <f>IF(B8="","",IF(COUNTIF(fer,B8)&gt;0,"feriado",B8))</f>
        <v>45231</v>
      </c>
      <c r="D8" s="138"/>
      <c r="E8" s="122">
        <v>900</v>
      </c>
      <c r="F8" s="122">
        <v>1200</v>
      </c>
      <c r="G8" s="122">
        <v>1300</v>
      </c>
      <c r="H8" s="122">
        <v>1900</v>
      </c>
      <c r="I8" s="139">
        <v>2200</v>
      </c>
      <c r="J8" s="139">
        <v>2300</v>
      </c>
      <c r="K8" s="140">
        <f>IF(B8="","",ROUND(O8-N8,5))</f>
        <v>0.375</v>
      </c>
      <c r="L8" s="140">
        <f t="shared" ref="L8:L38" si="0">IF(B8="","",IF(AND(E8="",F8=""),0,MAX(ININOT,MIN(FIMNOT+1,AA8+(Z8&gt;AA8)))-MAX(ININOT,Z8)+(MIN(FIMNOT,AA8+(Z8&gt;AA8))-MIN(FIMNOT,Z8)))+IF(AND(G8="",H8=""),0,MAX(ININOT,MIN(FIMNOT+1,AC8+(AB8&gt;AC8)))-MAX(ININOT,AB8)+(MIN(FIMNOT,AC8+(AB8&gt;AC8))-MIN(FIMNOT,AB8)))+IF(AND(I8="",J8=""),0,MAX(ININOT,MIN(FIMNOT+1,AE8+(AD8&gt;AE8)))-MAX(ININOT,AD8)+(MIN(FIMNOT,AE8+(AD8&gt;AE8))-MIN(FIMNOT,AD8))))</f>
        <v>4.1666666666666741E-2</v>
      </c>
      <c r="M8" s="141">
        <f>IF(B8="","",(L8/7*8)-L8)</f>
        <v>5.9523809523809659E-3</v>
      </c>
      <c r="N8" s="141">
        <f>IF(B8="","",L8+M8)</f>
        <v>4.7619047619047707E-2</v>
      </c>
      <c r="O8" s="142">
        <f>IF(B8="","",MOD((AA8-Z8)+(AC8-AB8)+(AE8-AD8),1)+M8)</f>
        <v>0.42261904761904773</v>
      </c>
      <c r="P8" s="134">
        <f t="shared" ref="P8:P38" si="1">IF(B8="","",IF(D8="F",$X$16,VLOOKUP(A8,jornada,3)))</f>
        <v>0.30555555555555552</v>
      </c>
      <c r="Q8" s="134" t="str">
        <f>IF(B8="","",IF(AND(D8="A",P8&gt;O8),P8-O8,""))</f>
        <v/>
      </c>
      <c r="R8" s="134" t="str">
        <f>IF(B8="","",IF(AND(O8&gt;0,D8="F"),"",IF(D8="A","",IF(O8&lt;P8,P8-O8,""))))</f>
        <v/>
      </c>
      <c r="S8" s="142">
        <f>IF(B8="","",IF(AND(WEEKDAY(B8,1)=7,P8=0,D8&lt;&gt;"F"),MAX(0,O8-P8),IF(P8=0,0,MAX(0,O8-P8))))</f>
        <v>0.1170634920634922</v>
      </c>
      <c r="T8" s="148">
        <f>IF(B8="","",IF(AND(WEEKDAY(B8,1)=7,P8=0,D8&lt;&gt;"F"),0,IF(P8=0,O8,0)))</f>
        <v>0</v>
      </c>
      <c r="U8" s="104"/>
      <c r="V8" s="108">
        <v>1</v>
      </c>
      <c r="W8" s="95" t="s">
        <v>15</v>
      </c>
      <c r="X8" s="99">
        <v>0.30555555555555552</v>
      </c>
      <c r="Z8" s="125">
        <f>IF(B8="","",IF($E8="",0,TIME(INT(E8/100),MOD(E8,100),0)))</f>
        <v>0.375</v>
      </c>
      <c r="AA8" s="125">
        <f>IF(B8="","",IF($F8="",0,TIME(INT(F8/100),MOD(F8,100),0)))</f>
        <v>0.5</v>
      </c>
      <c r="AB8" s="124">
        <f>IF(B8="","",IF($G8="",0,TIME(INT(G8/100),MOD(G8,100),0)))</f>
        <v>0.54166666666666663</v>
      </c>
      <c r="AC8" s="124">
        <f>IF(B8="","",IF($H8="",0,TIME(INT(H8/100),MOD(H8,100),0)))</f>
        <v>0.79166666666666663</v>
      </c>
      <c r="AD8" s="124">
        <f>IF(B8="","",IF($I8="",0,TIME(INT(I8/100),MOD(I8,100),0)))</f>
        <v>0.91666666666666663</v>
      </c>
      <c r="AE8" s="181">
        <f>IF(B8="","",IF($J8="",0,TIME(INT(J8/100),MOD(J8,100),0)))</f>
        <v>0.95833333333333337</v>
      </c>
      <c r="AF8" s="5"/>
    </row>
    <row r="9" spans="1:32" ht="18" customHeight="1" x14ac:dyDescent="0.2">
      <c r="A9" s="34">
        <f t="shared" ref="A9:A38" si="2">IF(B9="","",IF(C9&lt;&gt;"feriado",WEEKDAY(B9),8))</f>
        <v>8</v>
      </c>
      <c r="B9" s="38">
        <f>B8+1</f>
        <v>45232</v>
      </c>
      <c r="C9" s="39" t="str">
        <f t="shared" ref="C9:C38" si="3">IF(B9="","",IF(COUNTIF(fer,B9)&gt;0,"feriado",B9))</f>
        <v>feriado</v>
      </c>
      <c r="D9" s="105"/>
      <c r="E9" s="122">
        <v>900</v>
      </c>
      <c r="F9" s="122">
        <v>1200</v>
      </c>
      <c r="G9" s="122">
        <v>1300</v>
      </c>
      <c r="H9" s="122">
        <v>2000</v>
      </c>
      <c r="I9" s="122">
        <v>2200</v>
      </c>
      <c r="J9" s="122">
        <v>2400</v>
      </c>
      <c r="K9" s="68">
        <f t="shared" ref="K9:K38" si="4">IF(B9="","",ROUND(O9-N9,5))</f>
        <v>0.41666999999999998</v>
      </c>
      <c r="L9" s="140">
        <f t="shared" si="0"/>
        <v>8.333333333333337E-2</v>
      </c>
      <c r="M9" s="40">
        <f t="shared" ref="M9:M38" si="5">IF(B9="","",(L9/7*8)-L9)</f>
        <v>1.1904761904761904E-2</v>
      </c>
      <c r="N9" s="40">
        <f t="shared" ref="N9:N38" si="6">IF(B9="","",L9+M9)</f>
        <v>9.5238095238095274E-2</v>
      </c>
      <c r="O9" s="142">
        <f t="shared" ref="O9:O37" si="7">IF(B9="","",MOD((AA9-Z9)+(AC9-AB9)+(AE9-AD9),1)+M9)</f>
        <v>0.51190476190476197</v>
      </c>
      <c r="P9" s="127">
        <f t="shared" si="1"/>
        <v>0.30555555555555552</v>
      </c>
      <c r="Q9" s="134" t="str">
        <f t="shared" ref="Q9:Q38" si="8">IF(B9="","",IF(AND(D9="A",P9&gt;O9),P9-O9,""))</f>
        <v/>
      </c>
      <c r="R9" s="127" t="str">
        <f t="shared" ref="R9:R38" si="9">IF(B9="","",IF(AND(O9&gt;0,D9="F"),"",IF(D9="A","",IF(O9&lt;P9,P9-O9,""))))</f>
        <v/>
      </c>
      <c r="S9" s="142">
        <f t="shared" ref="S9:S37" si="10">IF(B9="","",IF(AND(WEEKDAY(B9,1)=7,P9=0,D9&lt;&gt;"F"),MAX(0,O9-P9),IF(P9=0,0,MAX(0,O9-P9))))</f>
        <v>0.20634920634920645</v>
      </c>
      <c r="T9" s="148">
        <f t="shared" ref="T9:T37" si="11">IF(B9="","",IF(AND(WEEKDAY(B9,1)=7,P9=0,D9&lt;&gt;"F"),0,IF(P9=0,O9,0)))</f>
        <v>0</v>
      </c>
      <c r="U9" s="90"/>
      <c r="V9" s="109">
        <v>2</v>
      </c>
      <c r="W9" s="102" t="s">
        <v>16</v>
      </c>
      <c r="X9" s="100">
        <v>0.30555555555555552</v>
      </c>
      <c r="Z9" s="124">
        <f t="shared" ref="Z9:Z38" si="12">IF(B9="","",IF($E9="",0,TIME(INT(E9/100),MOD(E9,100),0)))</f>
        <v>0.375</v>
      </c>
      <c r="AA9" s="125">
        <f t="shared" ref="AA9:AA38" si="13">IF(B9="","",IF($F9="",0,TIME(INT(F9/100),MOD(F9,100),0)))</f>
        <v>0.5</v>
      </c>
      <c r="AB9" s="124">
        <f t="shared" ref="AB9:AB38" si="14">IF(B9="","",IF($G9="",0,TIME(INT(G9/100),MOD(G9,100),0)))</f>
        <v>0.54166666666666663</v>
      </c>
      <c r="AC9" s="124">
        <f t="shared" ref="AC9:AC38" si="15">IF(B9="","",IF($H9="",0,TIME(INT(H9/100),MOD(H9,100),0)))</f>
        <v>0.83333333333333337</v>
      </c>
      <c r="AD9" s="124">
        <f t="shared" ref="AD9:AD38" si="16">IF(B9="","",IF($I9="",0,TIME(INT(I9/100),MOD(I9,100),0)))</f>
        <v>0.91666666666666663</v>
      </c>
      <c r="AE9" s="181">
        <f t="shared" ref="AE9:AE38" si="17">IF(B9="","",IF($J9="",0,TIME(INT(J9/100),MOD(J9,100),0)))</f>
        <v>0</v>
      </c>
      <c r="AF9" s="5"/>
    </row>
    <row r="10" spans="1:32" ht="18" customHeight="1" x14ac:dyDescent="0.2">
      <c r="A10" s="34">
        <f t="shared" si="2"/>
        <v>6</v>
      </c>
      <c r="B10" s="38">
        <f>B9+1</f>
        <v>45233</v>
      </c>
      <c r="C10" s="39">
        <f t="shared" si="3"/>
        <v>45233</v>
      </c>
      <c r="D10" s="105" t="s">
        <v>14</v>
      </c>
      <c r="E10" s="122"/>
      <c r="F10" s="122"/>
      <c r="G10" s="122"/>
      <c r="H10" s="122"/>
      <c r="I10" s="122"/>
      <c r="J10" s="122"/>
      <c r="K10" s="68">
        <f t="shared" si="4"/>
        <v>0</v>
      </c>
      <c r="L10" s="140">
        <f t="shared" si="0"/>
        <v>0</v>
      </c>
      <c r="M10" s="40">
        <f t="shared" si="5"/>
        <v>0</v>
      </c>
      <c r="N10" s="40">
        <f t="shared" si="6"/>
        <v>0</v>
      </c>
      <c r="O10" s="142">
        <f t="shared" si="7"/>
        <v>0</v>
      </c>
      <c r="P10" s="127">
        <f t="shared" si="1"/>
        <v>0</v>
      </c>
      <c r="Q10" s="134" t="str">
        <f t="shared" si="8"/>
        <v/>
      </c>
      <c r="R10" s="127" t="str">
        <f t="shared" si="9"/>
        <v/>
      </c>
      <c r="S10" s="142">
        <f t="shared" si="10"/>
        <v>0</v>
      </c>
      <c r="T10" s="148">
        <f t="shared" si="11"/>
        <v>0</v>
      </c>
      <c r="U10" s="90"/>
      <c r="V10" s="109">
        <v>3</v>
      </c>
      <c r="W10" s="96" t="s">
        <v>17</v>
      </c>
      <c r="X10" s="100">
        <v>0.30555555555555552</v>
      </c>
      <c r="Z10" s="124">
        <f t="shared" si="12"/>
        <v>0</v>
      </c>
      <c r="AA10" s="125">
        <f t="shared" si="13"/>
        <v>0</v>
      </c>
      <c r="AB10" s="124">
        <f t="shared" si="14"/>
        <v>0</v>
      </c>
      <c r="AC10" s="124">
        <f t="shared" si="15"/>
        <v>0</v>
      </c>
      <c r="AD10" s="124">
        <f t="shared" si="16"/>
        <v>0</v>
      </c>
      <c r="AE10" s="181">
        <f t="shared" si="17"/>
        <v>0</v>
      </c>
      <c r="AF10" s="5"/>
    </row>
    <row r="11" spans="1:32" ht="18" customHeight="1" x14ac:dyDescent="0.2">
      <c r="A11" s="34">
        <f t="shared" si="2"/>
        <v>7</v>
      </c>
      <c r="B11" s="38">
        <f>B10+1</f>
        <v>45234</v>
      </c>
      <c r="C11" s="39">
        <f t="shared" si="3"/>
        <v>45234</v>
      </c>
      <c r="D11" s="105" t="s">
        <v>72</v>
      </c>
      <c r="E11" s="122">
        <v>800</v>
      </c>
      <c r="F11" s="122">
        <v>1200</v>
      </c>
      <c r="G11" s="122">
        <v>0</v>
      </c>
      <c r="H11" s="122">
        <v>0</v>
      </c>
      <c r="I11" s="122">
        <v>2200</v>
      </c>
      <c r="J11" s="122">
        <v>100</v>
      </c>
      <c r="K11" s="68">
        <f t="shared" si="4"/>
        <v>0.16667000000000001</v>
      </c>
      <c r="L11" s="140">
        <f t="shared" si="0"/>
        <v>0.12500000000000011</v>
      </c>
      <c r="M11" s="40">
        <f t="shared" si="5"/>
        <v>1.7857142857142877E-2</v>
      </c>
      <c r="N11" s="40">
        <f t="shared" si="6"/>
        <v>0.14285714285714299</v>
      </c>
      <c r="O11" s="142">
        <f t="shared" si="7"/>
        <v>0.30952380952380965</v>
      </c>
      <c r="P11" s="127">
        <f t="shared" si="1"/>
        <v>0.30555555555555552</v>
      </c>
      <c r="Q11" s="134" t="str">
        <f t="shared" si="8"/>
        <v/>
      </c>
      <c r="R11" s="127" t="str">
        <f t="shared" si="9"/>
        <v/>
      </c>
      <c r="S11" s="142">
        <f t="shared" si="10"/>
        <v>3.9682539682541207E-3</v>
      </c>
      <c r="T11" s="148">
        <f t="shared" si="11"/>
        <v>0</v>
      </c>
      <c r="U11" s="90"/>
      <c r="V11" s="109">
        <v>4</v>
      </c>
      <c r="W11" s="96" t="s">
        <v>18</v>
      </c>
      <c r="X11" s="100">
        <v>0.30555555555555552</v>
      </c>
      <c r="Z11" s="124">
        <f t="shared" si="12"/>
        <v>0.33333333333333331</v>
      </c>
      <c r="AA11" s="125">
        <f t="shared" si="13"/>
        <v>0.5</v>
      </c>
      <c r="AB11" s="124">
        <f t="shared" si="14"/>
        <v>0</v>
      </c>
      <c r="AC11" s="124">
        <f t="shared" si="15"/>
        <v>0</v>
      </c>
      <c r="AD11" s="124">
        <f t="shared" si="16"/>
        <v>0.91666666666666663</v>
      </c>
      <c r="AE11" s="181">
        <f t="shared" si="17"/>
        <v>4.1666666666666664E-2</v>
      </c>
      <c r="AF11" s="5"/>
    </row>
    <row r="12" spans="1:32" ht="18" customHeight="1" x14ac:dyDescent="0.2">
      <c r="A12" s="34">
        <f t="shared" si="2"/>
        <v>1</v>
      </c>
      <c r="B12" s="38">
        <f>B11+1</f>
        <v>45235</v>
      </c>
      <c r="C12" s="39">
        <f t="shared" si="3"/>
        <v>45235</v>
      </c>
      <c r="D12" s="105"/>
      <c r="E12" s="122">
        <v>900</v>
      </c>
      <c r="F12" s="122">
        <v>1200</v>
      </c>
      <c r="G12" s="122">
        <v>1300</v>
      </c>
      <c r="H12" s="122">
        <v>1800</v>
      </c>
      <c r="I12" s="122">
        <v>2200</v>
      </c>
      <c r="J12" s="122">
        <v>200</v>
      </c>
      <c r="K12" s="68">
        <f t="shared" si="4"/>
        <v>0.33333000000000002</v>
      </c>
      <c r="L12" s="140">
        <f t="shared" si="0"/>
        <v>0.16666666666666663</v>
      </c>
      <c r="M12" s="40">
        <f t="shared" si="5"/>
        <v>2.3809523809523808E-2</v>
      </c>
      <c r="N12" s="40">
        <f t="shared" si="6"/>
        <v>0.19047619047619044</v>
      </c>
      <c r="O12" s="142">
        <f t="shared" si="7"/>
        <v>0.52380952380952395</v>
      </c>
      <c r="P12" s="127">
        <f t="shared" si="1"/>
        <v>0.30555555555555552</v>
      </c>
      <c r="Q12" s="134" t="str">
        <f t="shared" si="8"/>
        <v/>
      </c>
      <c r="R12" s="127" t="str">
        <f t="shared" si="9"/>
        <v/>
      </c>
      <c r="S12" s="142">
        <f t="shared" si="10"/>
        <v>0.21825396825396842</v>
      </c>
      <c r="T12" s="148">
        <f t="shared" si="11"/>
        <v>0</v>
      </c>
      <c r="U12" s="90"/>
      <c r="V12" s="109">
        <v>5</v>
      </c>
      <c r="W12" s="96" t="s">
        <v>19</v>
      </c>
      <c r="X12" s="100">
        <v>0.30555555555555552</v>
      </c>
      <c r="Z12" s="124">
        <f t="shared" si="12"/>
        <v>0.375</v>
      </c>
      <c r="AA12" s="125">
        <f t="shared" si="13"/>
        <v>0.5</v>
      </c>
      <c r="AB12" s="124">
        <f t="shared" si="14"/>
        <v>0.54166666666666663</v>
      </c>
      <c r="AC12" s="124">
        <f t="shared" si="15"/>
        <v>0.75</v>
      </c>
      <c r="AD12" s="124">
        <f t="shared" si="16"/>
        <v>0.91666666666666663</v>
      </c>
      <c r="AE12" s="181">
        <f t="shared" si="17"/>
        <v>8.3333333333333329E-2</v>
      </c>
      <c r="AF12" s="5"/>
    </row>
    <row r="13" spans="1:32" ht="18" customHeight="1" x14ac:dyDescent="0.2">
      <c r="A13" s="34">
        <f t="shared" si="2"/>
        <v>2</v>
      </c>
      <c r="B13" s="38">
        <f t="shared" ref="B13:B35" si="18">B12+1</f>
        <v>45236</v>
      </c>
      <c r="C13" s="39">
        <f t="shared" si="3"/>
        <v>45236</v>
      </c>
      <c r="D13" s="105"/>
      <c r="E13" s="122">
        <v>900</v>
      </c>
      <c r="F13" s="122">
        <v>1300</v>
      </c>
      <c r="G13" s="122">
        <v>1330</v>
      </c>
      <c r="H13" s="122">
        <v>2300</v>
      </c>
      <c r="I13" s="122">
        <v>2300</v>
      </c>
      <c r="J13" s="122">
        <v>200</v>
      </c>
      <c r="K13" s="68">
        <f t="shared" si="4"/>
        <v>0.52083000000000002</v>
      </c>
      <c r="L13" s="140">
        <f t="shared" si="0"/>
        <v>0.16666666666666663</v>
      </c>
      <c r="M13" s="40">
        <f t="shared" si="5"/>
        <v>2.3809523809523808E-2</v>
      </c>
      <c r="N13" s="40">
        <f t="shared" si="6"/>
        <v>0.19047619047619044</v>
      </c>
      <c r="O13" s="142">
        <f t="shared" si="7"/>
        <v>0.71130952380952384</v>
      </c>
      <c r="P13" s="127">
        <f t="shared" si="1"/>
        <v>0.30555555555555552</v>
      </c>
      <c r="Q13" s="134" t="str">
        <f t="shared" si="8"/>
        <v/>
      </c>
      <c r="R13" s="127" t="str">
        <f t="shared" si="9"/>
        <v/>
      </c>
      <c r="S13" s="142">
        <f t="shared" si="10"/>
        <v>0.40575396825396831</v>
      </c>
      <c r="T13" s="148">
        <f t="shared" si="11"/>
        <v>0</v>
      </c>
      <c r="U13" s="90"/>
      <c r="V13" s="109">
        <v>6</v>
      </c>
      <c r="W13" s="96" t="s">
        <v>20</v>
      </c>
      <c r="X13" s="100">
        <v>0.30555555555555552</v>
      </c>
      <c r="Z13" s="124">
        <f t="shared" si="12"/>
        <v>0.375</v>
      </c>
      <c r="AA13" s="125">
        <f t="shared" si="13"/>
        <v>0.54166666666666663</v>
      </c>
      <c r="AB13" s="124">
        <f t="shared" si="14"/>
        <v>0.5625</v>
      </c>
      <c r="AC13" s="124">
        <f t="shared" si="15"/>
        <v>0.95833333333333337</v>
      </c>
      <c r="AD13" s="124">
        <f t="shared" si="16"/>
        <v>0.95833333333333337</v>
      </c>
      <c r="AE13" s="181">
        <f t="shared" si="17"/>
        <v>8.3333333333333329E-2</v>
      </c>
      <c r="AF13" s="5"/>
    </row>
    <row r="14" spans="1:32" ht="18" customHeight="1" x14ac:dyDescent="0.2">
      <c r="A14" s="34">
        <f t="shared" si="2"/>
        <v>3</v>
      </c>
      <c r="B14" s="38">
        <f t="shared" si="18"/>
        <v>45237</v>
      </c>
      <c r="C14" s="39">
        <f t="shared" si="3"/>
        <v>45237</v>
      </c>
      <c r="D14" s="105"/>
      <c r="E14" s="122">
        <v>1000</v>
      </c>
      <c r="F14" s="122">
        <v>1400</v>
      </c>
      <c r="G14" s="122">
        <v>2200</v>
      </c>
      <c r="H14" s="122">
        <v>200</v>
      </c>
      <c r="I14" s="122">
        <v>200</v>
      </c>
      <c r="J14" s="122">
        <v>500</v>
      </c>
      <c r="K14" s="68">
        <f t="shared" si="4"/>
        <v>0.16667000000000001</v>
      </c>
      <c r="L14" s="140">
        <f t="shared" si="0"/>
        <v>0.29166666666666663</v>
      </c>
      <c r="M14" s="40">
        <f t="shared" si="5"/>
        <v>4.1666666666666685E-2</v>
      </c>
      <c r="N14" s="40">
        <f t="shared" si="6"/>
        <v>0.33333333333333331</v>
      </c>
      <c r="O14" s="142">
        <f t="shared" si="7"/>
        <v>0.50000000000000022</v>
      </c>
      <c r="P14" s="127">
        <f t="shared" si="1"/>
        <v>0.30555555555555552</v>
      </c>
      <c r="Q14" s="134" t="str">
        <f t="shared" si="8"/>
        <v/>
      </c>
      <c r="R14" s="127" t="str">
        <f t="shared" si="9"/>
        <v/>
      </c>
      <c r="S14" s="142">
        <f t="shared" si="10"/>
        <v>0.1944444444444447</v>
      </c>
      <c r="T14" s="148">
        <f t="shared" si="11"/>
        <v>0</v>
      </c>
      <c r="U14" s="90"/>
      <c r="V14" s="109">
        <v>7</v>
      </c>
      <c r="W14" s="103" t="s">
        <v>21</v>
      </c>
      <c r="X14" s="100">
        <v>0.30555555555555552</v>
      </c>
      <c r="Z14" s="124">
        <f t="shared" si="12"/>
        <v>0.41666666666666669</v>
      </c>
      <c r="AA14" s="125">
        <f t="shared" si="13"/>
        <v>0.58333333333333337</v>
      </c>
      <c r="AB14" s="124">
        <f t="shared" si="14"/>
        <v>0.91666666666666663</v>
      </c>
      <c r="AC14" s="124">
        <f t="shared" si="15"/>
        <v>8.3333333333333329E-2</v>
      </c>
      <c r="AD14" s="124">
        <f t="shared" si="16"/>
        <v>8.3333333333333329E-2</v>
      </c>
      <c r="AE14" s="181">
        <f t="shared" si="17"/>
        <v>0.20833333333333334</v>
      </c>
      <c r="AF14" s="5"/>
    </row>
    <row r="15" spans="1:32" ht="18" customHeight="1" x14ac:dyDescent="0.2">
      <c r="A15" s="34">
        <f t="shared" si="2"/>
        <v>4</v>
      </c>
      <c r="B15" s="38">
        <f t="shared" si="18"/>
        <v>45238</v>
      </c>
      <c r="C15" s="39">
        <f t="shared" si="3"/>
        <v>45238</v>
      </c>
      <c r="D15" s="105"/>
      <c r="E15" s="122">
        <v>1200</v>
      </c>
      <c r="F15" s="122">
        <v>1600</v>
      </c>
      <c r="G15" s="122">
        <v>1700</v>
      </c>
      <c r="H15" s="122">
        <v>2215</v>
      </c>
      <c r="I15" s="122">
        <v>2215</v>
      </c>
      <c r="J15" s="122">
        <v>200</v>
      </c>
      <c r="K15" s="68">
        <f t="shared" si="4"/>
        <v>0.375</v>
      </c>
      <c r="L15" s="140">
        <f t="shared" si="0"/>
        <v>0.16666666666666663</v>
      </c>
      <c r="M15" s="40">
        <f t="shared" si="5"/>
        <v>2.3809523809523808E-2</v>
      </c>
      <c r="N15" s="40">
        <f t="shared" si="6"/>
        <v>0.19047619047619044</v>
      </c>
      <c r="O15" s="142">
        <f t="shared" si="7"/>
        <v>0.56547619047619047</v>
      </c>
      <c r="P15" s="127">
        <f t="shared" si="1"/>
        <v>0.30555555555555552</v>
      </c>
      <c r="Q15" s="134" t="str">
        <f t="shared" si="8"/>
        <v/>
      </c>
      <c r="R15" s="127" t="str">
        <f t="shared" si="9"/>
        <v/>
      </c>
      <c r="S15" s="142">
        <f t="shared" si="10"/>
        <v>0.25992063492063494</v>
      </c>
      <c r="T15" s="148">
        <f t="shared" si="11"/>
        <v>0</v>
      </c>
      <c r="U15" s="90"/>
      <c r="V15" s="109">
        <v>8</v>
      </c>
      <c r="W15" s="97" t="s">
        <v>22</v>
      </c>
      <c r="X15" s="101">
        <v>0.30555555555555552</v>
      </c>
      <c r="Z15" s="124">
        <f t="shared" si="12"/>
        <v>0.5</v>
      </c>
      <c r="AA15" s="125">
        <f t="shared" si="13"/>
        <v>0.66666666666666663</v>
      </c>
      <c r="AB15" s="124">
        <f t="shared" si="14"/>
        <v>0.70833333333333337</v>
      </c>
      <c r="AC15" s="124">
        <f t="shared" si="15"/>
        <v>0.92708333333333337</v>
      </c>
      <c r="AD15" s="124">
        <f t="shared" si="16"/>
        <v>0.92708333333333337</v>
      </c>
      <c r="AE15" s="181">
        <f t="shared" si="17"/>
        <v>8.3333333333333329E-2</v>
      </c>
      <c r="AF15" s="5"/>
    </row>
    <row r="16" spans="1:32" ht="18" customHeight="1" x14ac:dyDescent="0.2">
      <c r="A16" s="34">
        <f t="shared" si="2"/>
        <v>5</v>
      </c>
      <c r="B16" s="38">
        <f t="shared" si="18"/>
        <v>45239</v>
      </c>
      <c r="C16" s="39">
        <f t="shared" si="3"/>
        <v>45239</v>
      </c>
      <c r="D16" s="105" t="s">
        <v>14</v>
      </c>
      <c r="E16" s="122">
        <v>900</v>
      </c>
      <c r="F16" s="122">
        <v>1200</v>
      </c>
      <c r="G16" s="122">
        <v>1300</v>
      </c>
      <c r="H16" s="122">
        <v>1900</v>
      </c>
      <c r="I16" s="122">
        <v>2000</v>
      </c>
      <c r="J16" s="122">
        <v>2400</v>
      </c>
      <c r="K16" s="68">
        <f t="shared" si="4"/>
        <v>0.45833000000000002</v>
      </c>
      <c r="L16" s="140">
        <f t="shared" si="0"/>
        <v>8.333333333333337E-2</v>
      </c>
      <c r="M16" s="40">
        <f t="shared" si="5"/>
        <v>1.1904761904761904E-2</v>
      </c>
      <c r="N16" s="40">
        <f t="shared" si="6"/>
        <v>9.5238095238095274E-2</v>
      </c>
      <c r="O16" s="142">
        <f t="shared" si="7"/>
        <v>0.55357142857142849</v>
      </c>
      <c r="P16" s="127">
        <f t="shared" si="1"/>
        <v>0</v>
      </c>
      <c r="Q16" s="134" t="str">
        <f t="shared" si="8"/>
        <v/>
      </c>
      <c r="R16" s="127" t="str">
        <f t="shared" si="9"/>
        <v/>
      </c>
      <c r="S16" s="142">
        <f t="shared" si="10"/>
        <v>0</v>
      </c>
      <c r="T16" s="148">
        <f t="shared" si="11"/>
        <v>0.55357142857142849</v>
      </c>
      <c r="U16" s="90"/>
      <c r="V16" s="90"/>
      <c r="W16" s="98" t="s">
        <v>3</v>
      </c>
      <c r="X16" s="94">
        <v>0</v>
      </c>
      <c r="Z16" s="124">
        <f t="shared" si="12"/>
        <v>0.375</v>
      </c>
      <c r="AA16" s="125">
        <f t="shared" si="13"/>
        <v>0.5</v>
      </c>
      <c r="AB16" s="124">
        <f t="shared" si="14"/>
        <v>0.54166666666666663</v>
      </c>
      <c r="AC16" s="124">
        <f t="shared" si="15"/>
        <v>0.79166666666666663</v>
      </c>
      <c r="AD16" s="124">
        <f t="shared" si="16"/>
        <v>0.83333333333333337</v>
      </c>
      <c r="AE16" s="181">
        <f t="shared" si="17"/>
        <v>0</v>
      </c>
      <c r="AF16" s="5"/>
    </row>
    <row r="17" spans="1:32" ht="18" customHeight="1" x14ac:dyDescent="0.2">
      <c r="A17" s="34">
        <f t="shared" si="2"/>
        <v>6</v>
      </c>
      <c r="B17" s="38">
        <f t="shared" si="18"/>
        <v>45240</v>
      </c>
      <c r="C17" s="39">
        <f t="shared" si="3"/>
        <v>45240</v>
      </c>
      <c r="D17" s="105"/>
      <c r="E17" s="122">
        <v>900</v>
      </c>
      <c r="F17" s="122">
        <v>1200</v>
      </c>
      <c r="G17" s="122">
        <v>1300</v>
      </c>
      <c r="H17" s="122">
        <v>2300</v>
      </c>
      <c r="I17" s="122">
        <v>2400</v>
      </c>
      <c r="J17" s="122">
        <v>130</v>
      </c>
      <c r="K17" s="68">
        <f t="shared" si="4"/>
        <v>0.5</v>
      </c>
      <c r="L17" s="140">
        <f t="shared" si="0"/>
        <v>0.10416666666666674</v>
      </c>
      <c r="M17" s="40">
        <f t="shared" si="5"/>
        <v>1.4880952380952397E-2</v>
      </c>
      <c r="N17" s="40">
        <f t="shared" si="6"/>
        <v>0.11904761904761914</v>
      </c>
      <c r="O17" s="142">
        <f t="shared" si="7"/>
        <v>0.61904761904761918</v>
      </c>
      <c r="P17" s="127">
        <f t="shared" si="1"/>
        <v>0.30555555555555552</v>
      </c>
      <c r="Q17" s="134" t="str">
        <f t="shared" si="8"/>
        <v/>
      </c>
      <c r="R17" s="127" t="str">
        <f t="shared" si="9"/>
        <v/>
      </c>
      <c r="S17" s="142">
        <f t="shared" si="10"/>
        <v>0.31349206349206366</v>
      </c>
      <c r="T17" s="148">
        <f t="shared" si="11"/>
        <v>0</v>
      </c>
      <c r="U17" s="90"/>
      <c r="V17" s="90"/>
      <c r="W17" s="209" t="s">
        <v>23</v>
      </c>
      <c r="X17" s="210"/>
      <c r="Z17" s="124">
        <f t="shared" si="12"/>
        <v>0.375</v>
      </c>
      <c r="AA17" s="125">
        <f t="shared" si="13"/>
        <v>0.5</v>
      </c>
      <c r="AB17" s="124">
        <f t="shared" si="14"/>
        <v>0.54166666666666663</v>
      </c>
      <c r="AC17" s="124">
        <f t="shared" si="15"/>
        <v>0.95833333333333337</v>
      </c>
      <c r="AD17" s="124">
        <f t="shared" si="16"/>
        <v>0</v>
      </c>
      <c r="AE17" s="181">
        <f t="shared" si="17"/>
        <v>6.25E-2</v>
      </c>
      <c r="AF17" s="5"/>
    </row>
    <row r="18" spans="1:32" ht="18" customHeight="1" x14ac:dyDescent="0.2">
      <c r="A18" s="34">
        <f t="shared" si="2"/>
        <v>7</v>
      </c>
      <c r="B18" s="38">
        <f t="shared" si="18"/>
        <v>45241</v>
      </c>
      <c r="C18" s="39">
        <f t="shared" si="3"/>
        <v>45241</v>
      </c>
      <c r="D18" s="105"/>
      <c r="E18" s="122">
        <v>900</v>
      </c>
      <c r="F18" s="122">
        <v>1200</v>
      </c>
      <c r="G18" s="122">
        <v>1300</v>
      </c>
      <c r="H18" s="122">
        <v>2300</v>
      </c>
      <c r="I18" s="122">
        <v>2300</v>
      </c>
      <c r="J18" s="122">
        <v>230</v>
      </c>
      <c r="K18" s="68">
        <f t="shared" si="4"/>
        <v>0.5</v>
      </c>
      <c r="L18" s="140">
        <f t="shared" si="0"/>
        <v>0.18750000000000011</v>
      </c>
      <c r="M18" s="40">
        <f t="shared" si="5"/>
        <v>2.6785714285714302E-2</v>
      </c>
      <c r="N18" s="40">
        <f t="shared" si="6"/>
        <v>0.21428571428571441</v>
      </c>
      <c r="O18" s="142">
        <f t="shared" si="7"/>
        <v>0.7142857142857143</v>
      </c>
      <c r="P18" s="127">
        <f t="shared" si="1"/>
        <v>0.30555555555555552</v>
      </c>
      <c r="Q18" s="134" t="str">
        <f t="shared" si="8"/>
        <v/>
      </c>
      <c r="R18" s="127" t="str">
        <f t="shared" si="9"/>
        <v/>
      </c>
      <c r="S18" s="142">
        <f t="shared" si="10"/>
        <v>0.40873015873015878</v>
      </c>
      <c r="T18" s="148">
        <f t="shared" si="11"/>
        <v>0</v>
      </c>
      <c r="U18" s="90"/>
      <c r="V18" s="90"/>
      <c r="W18" s="111" t="s">
        <v>24</v>
      </c>
      <c r="X18" s="99">
        <f>ININOT</f>
        <v>0.91666666666666663</v>
      </c>
      <c r="Z18" s="124">
        <f t="shared" si="12"/>
        <v>0.375</v>
      </c>
      <c r="AA18" s="125">
        <f t="shared" si="13"/>
        <v>0.5</v>
      </c>
      <c r="AB18" s="124">
        <f t="shared" si="14"/>
        <v>0.54166666666666663</v>
      </c>
      <c r="AC18" s="124">
        <f t="shared" si="15"/>
        <v>0.95833333333333337</v>
      </c>
      <c r="AD18" s="124">
        <f t="shared" si="16"/>
        <v>0.95833333333333337</v>
      </c>
      <c r="AE18" s="181">
        <f t="shared" si="17"/>
        <v>0.10416666666666667</v>
      </c>
      <c r="AF18" s="5"/>
    </row>
    <row r="19" spans="1:32" ht="18" customHeight="1" x14ac:dyDescent="0.2">
      <c r="A19" s="34">
        <f t="shared" si="2"/>
        <v>1</v>
      </c>
      <c r="B19" s="38">
        <f t="shared" si="18"/>
        <v>45242</v>
      </c>
      <c r="C19" s="39">
        <f t="shared" si="3"/>
        <v>45242</v>
      </c>
      <c r="D19" s="105"/>
      <c r="E19" s="122">
        <v>900</v>
      </c>
      <c r="F19" s="122">
        <v>1300</v>
      </c>
      <c r="G19" s="122">
        <v>1800</v>
      </c>
      <c r="H19" s="122">
        <v>2300</v>
      </c>
      <c r="I19" s="122">
        <v>2300</v>
      </c>
      <c r="J19" s="122">
        <v>600</v>
      </c>
      <c r="K19" s="68">
        <f t="shared" si="4"/>
        <v>0.375</v>
      </c>
      <c r="L19" s="140">
        <f t="shared" si="0"/>
        <v>0.29166666666666663</v>
      </c>
      <c r="M19" s="40">
        <f t="shared" si="5"/>
        <v>4.1666666666666685E-2</v>
      </c>
      <c r="N19" s="40">
        <f t="shared" si="6"/>
        <v>0.33333333333333331</v>
      </c>
      <c r="O19" s="142">
        <f t="shared" si="7"/>
        <v>0.70833333333333326</v>
      </c>
      <c r="P19" s="127">
        <f t="shared" si="1"/>
        <v>0.30555555555555552</v>
      </c>
      <c r="Q19" s="134" t="str">
        <f t="shared" si="8"/>
        <v/>
      </c>
      <c r="R19" s="127" t="str">
        <f t="shared" si="9"/>
        <v/>
      </c>
      <c r="S19" s="142">
        <f t="shared" si="10"/>
        <v>0.40277777777777773</v>
      </c>
      <c r="T19" s="148">
        <f t="shared" si="11"/>
        <v>0</v>
      </c>
      <c r="U19" s="90"/>
      <c r="V19" s="90"/>
      <c r="W19" s="112" t="s">
        <v>25</v>
      </c>
      <c r="X19" s="101">
        <f>FIMNOT</f>
        <v>0.20833333333333334</v>
      </c>
      <c r="Z19" s="124">
        <f t="shared" si="12"/>
        <v>0.375</v>
      </c>
      <c r="AA19" s="125">
        <f t="shared" si="13"/>
        <v>0.54166666666666663</v>
      </c>
      <c r="AB19" s="124">
        <f t="shared" si="14"/>
        <v>0.75</v>
      </c>
      <c r="AC19" s="124">
        <f t="shared" si="15"/>
        <v>0.95833333333333337</v>
      </c>
      <c r="AD19" s="124">
        <f t="shared" si="16"/>
        <v>0.95833333333333337</v>
      </c>
      <c r="AE19" s="181">
        <f t="shared" si="17"/>
        <v>0.25</v>
      </c>
      <c r="AF19" s="7"/>
    </row>
    <row r="20" spans="1:32" ht="18" customHeight="1" x14ac:dyDescent="0.2">
      <c r="A20" s="34">
        <f t="shared" si="2"/>
        <v>2</v>
      </c>
      <c r="B20" s="38">
        <f t="shared" si="18"/>
        <v>45243</v>
      </c>
      <c r="C20" s="39">
        <f t="shared" si="3"/>
        <v>45243</v>
      </c>
      <c r="D20" s="105"/>
      <c r="E20" s="122">
        <v>1000</v>
      </c>
      <c r="F20" s="122">
        <v>1400</v>
      </c>
      <c r="G20" s="122">
        <v>1530</v>
      </c>
      <c r="H20" s="122">
        <v>2300</v>
      </c>
      <c r="I20" s="122">
        <v>2300</v>
      </c>
      <c r="J20" s="122">
        <v>200</v>
      </c>
      <c r="K20" s="68">
        <f t="shared" si="4"/>
        <v>0.4375</v>
      </c>
      <c r="L20" s="140">
        <f t="shared" si="0"/>
        <v>0.16666666666666663</v>
      </c>
      <c r="M20" s="40">
        <f t="shared" si="5"/>
        <v>2.3809523809523808E-2</v>
      </c>
      <c r="N20" s="40">
        <f t="shared" si="6"/>
        <v>0.19047619047619044</v>
      </c>
      <c r="O20" s="142">
        <f t="shared" si="7"/>
        <v>0.62797619047619058</v>
      </c>
      <c r="P20" s="127">
        <f t="shared" si="1"/>
        <v>0.30555555555555552</v>
      </c>
      <c r="Q20" s="134" t="str">
        <f t="shared" si="8"/>
        <v/>
      </c>
      <c r="R20" s="127" t="str">
        <f t="shared" si="9"/>
        <v/>
      </c>
      <c r="S20" s="142">
        <f t="shared" si="10"/>
        <v>0.32242063492063505</v>
      </c>
      <c r="T20" s="148">
        <f t="shared" si="11"/>
        <v>0</v>
      </c>
      <c r="U20" s="90"/>
      <c r="V20" s="90"/>
      <c r="W20" s="209" t="s">
        <v>26</v>
      </c>
      <c r="X20" s="210"/>
      <c r="Z20" s="124">
        <f t="shared" si="12"/>
        <v>0.41666666666666669</v>
      </c>
      <c r="AA20" s="125">
        <f t="shared" si="13"/>
        <v>0.58333333333333337</v>
      </c>
      <c r="AB20" s="124">
        <f t="shared" si="14"/>
        <v>0.64583333333333337</v>
      </c>
      <c r="AC20" s="124">
        <f t="shared" si="15"/>
        <v>0.95833333333333337</v>
      </c>
      <c r="AD20" s="124">
        <f t="shared" si="16"/>
        <v>0.95833333333333337</v>
      </c>
      <c r="AE20" s="181">
        <f t="shared" si="17"/>
        <v>8.3333333333333329E-2</v>
      </c>
      <c r="AF20" s="5"/>
    </row>
    <row r="21" spans="1:32" ht="18" customHeight="1" x14ac:dyDescent="0.2">
      <c r="A21" s="34">
        <f t="shared" si="2"/>
        <v>3</v>
      </c>
      <c r="B21" s="38">
        <f t="shared" si="18"/>
        <v>45244</v>
      </c>
      <c r="C21" s="39">
        <f t="shared" si="3"/>
        <v>45244</v>
      </c>
      <c r="D21" s="105"/>
      <c r="E21" s="122">
        <v>1200</v>
      </c>
      <c r="F21" s="122">
        <v>1600</v>
      </c>
      <c r="G21" s="122">
        <v>1700</v>
      </c>
      <c r="H21" s="122">
        <v>2215</v>
      </c>
      <c r="I21" s="122">
        <v>2315</v>
      </c>
      <c r="J21" s="122">
        <v>215</v>
      </c>
      <c r="K21" s="68">
        <f t="shared" si="4"/>
        <v>0.375</v>
      </c>
      <c r="L21" s="140">
        <f t="shared" si="0"/>
        <v>0.13541666666666674</v>
      </c>
      <c r="M21" s="40">
        <f t="shared" si="5"/>
        <v>1.934523809523811E-2</v>
      </c>
      <c r="N21" s="40">
        <f t="shared" si="6"/>
        <v>0.15476190476190485</v>
      </c>
      <c r="O21" s="142">
        <f t="shared" si="7"/>
        <v>0.52976190476190477</v>
      </c>
      <c r="P21" s="127">
        <f t="shared" si="1"/>
        <v>0.30555555555555552</v>
      </c>
      <c r="Q21" s="134" t="str">
        <f t="shared" si="8"/>
        <v/>
      </c>
      <c r="R21" s="127" t="str">
        <f t="shared" si="9"/>
        <v/>
      </c>
      <c r="S21" s="142">
        <f t="shared" si="10"/>
        <v>0.22420634920634924</v>
      </c>
      <c r="T21" s="148">
        <f t="shared" si="11"/>
        <v>0</v>
      </c>
      <c r="U21" s="90"/>
      <c r="V21" s="90"/>
      <c r="W21" s="113" t="s">
        <v>27</v>
      </c>
      <c r="X21" s="184" t="str">
        <f>IF(dia_f="","",dia_f)</f>
        <v/>
      </c>
      <c r="Z21" s="124">
        <f t="shared" si="12"/>
        <v>0.5</v>
      </c>
      <c r="AA21" s="125">
        <f t="shared" si="13"/>
        <v>0.66666666666666663</v>
      </c>
      <c r="AB21" s="124">
        <f t="shared" si="14"/>
        <v>0.70833333333333337</v>
      </c>
      <c r="AC21" s="124">
        <f t="shared" si="15"/>
        <v>0.92708333333333337</v>
      </c>
      <c r="AD21" s="124">
        <f t="shared" si="16"/>
        <v>0.96875</v>
      </c>
      <c r="AE21" s="181">
        <f t="shared" si="17"/>
        <v>9.375E-2</v>
      </c>
    </row>
    <row r="22" spans="1:32" ht="18" customHeight="1" x14ac:dyDescent="0.25">
      <c r="A22" s="34">
        <f t="shared" si="2"/>
        <v>8</v>
      </c>
      <c r="B22" s="38">
        <f t="shared" si="18"/>
        <v>45245</v>
      </c>
      <c r="C22" s="39" t="str">
        <f t="shared" si="3"/>
        <v>feriado</v>
      </c>
      <c r="D22" s="105"/>
      <c r="E22" s="122">
        <v>900</v>
      </c>
      <c r="F22" s="122">
        <v>1200</v>
      </c>
      <c r="G22" s="122">
        <v>1300</v>
      </c>
      <c r="H22" s="122">
        <v>2230</v>
      </c>
      <c r="I22" s="122">
        <v>2300</v>
      </c>
      <c r="J22" s="122">
        <v>100</v>
      </c>
      <c r="K22" s="68">
        <f t="shared" si="4"/>
        <v>0.5</v>
      </c>
      <c r="L22" s="140">
        <f t="shared" si="0"/>
        <v>0.10416666666666674</v>
      </c>
      <c r="M22" s="40">
        <f t="shared" si="5"/>
        <v>1.4880952380952397E-2</v>
      </c>
      <c r="N22" s="40">
        <f t="shared" si="6"/>
        <v>0.11904761904761914</v>
      </c>
      <c r="O22" s="142">
        <f t="shared" si="7"/>
        <v>0.61904761904761907</v>
      </c>
      <c r="P22" s="127">
        <f t="shared" si="1"/>
        <v>0.30555555555555552</v>
      </c>
      <c r="Q22" s="134" t="str">
        <f t="shared" si="8"/>
        <v/>
      </c>
      <c r="R22" s="127" t="str">
        <f t="shared" si="9"/>
        <v/>
      </c>
      <c r="S22" s="142">
        <f t="shared" si="10"/>
        <v>0.31349206349206354</v>
      </c>
      <c r="T22" s="148">
        <f t="shared" si="11"/>
        <v>0</v>
      </c>
      <c r="U22" s="90"/>
      <c r="V22" s="90"/>
      <c r="W22" s="173"/>
      <c r="X22" s="174"/>
      <c r="Z22" s="124">
        <f t="shared" si="12"/>
        <v>0.375</v>
      </c>
      <c r="AA22" s="125">
        <f t="shared" si="13"/>
        <v>0.5</v>
      </c>
      <c r="AB22" s="124">
        <f t="shared" si="14"/>
        <v>0.54166666666666663</v>
      </c>
      <c r="AC22" s="124">
        <f t="shared" si="15"/>
        <v>0.9375</v>
      </c>
      <c r="AD22" s="124">
        <f t="shared" si="16"/>
        <v>0.95833333333333337</v>
      </c>
      <c r="AE22" s="181">
        <f t="shared" si="17"/>
        <v>4.1666666666666664E-2</v>
      </c>
    </row>
    <row r="23" spans="1:32" ht="18" customHeight="1" x14ac:dyDescent="0.25">
      <c r="A23" s="34">
        <f t="shared" si="2"/>
        <v>5</v>
      </c>
      <c r="B23" s="38">
        <f t="shared" si="18"/>
        <v>45246</v>
      </c>
      <c r="C23" s="39">
        <f t="shared" si="3"/>
        <v>45246</v>
      </c>
      <c r="D23" s="105"/>
      <c r="E23" s="122">
        <v>900</v>
      </c>
      <c r="F23" s="122">
        <v>1200</v>
      </c>
      <c r="G23" s="122">
        <v>1300</v>
      </c>
      <c r="H23" s="122">
        <v>2400</v>
      </c>
      <c r="I23" s="122"/>
      <c r="J23" s="122"/>
      <c r="K23" s="68">
        <f t="shared" si="4"/>
        <v>0.5</v>
      </c>
      <c r="L23" s="140">
        <f t="shared" si="0"/>
        <v>8.333333333333337E-2</v>
      </c>
      <c r="M23" s="40">
        <f t="shared" si="5"/>
        <v>1.1904761904761904E-2</v>
      </c>
      <c r="N23" s="40">
        <f t="shared" si="6"/>
        <v>9.5238095238095274E-2</v>
      </c>
      <c r="O23" s="142">
        <f t="shared" si="7"/>
        <v>0.59523809523809523</v>
      </c>
      <c r="P23" s="127">
        <f t="shared" si="1"/>
        <v>0.30555555555555552</v>
      </c>
      <c r="Q23" s="134" t="str">
        <f t="shared" si="8"/>
        <v/>
      </c>
      <c r="R23" s="127" t="str">
        <f t="shared" si="9"/>
        <v/>
      </c>
      <c r="S23" s="142">
        <f t="shared" si="10"/>
        <v>0.28968253968253971</v>
      </c>
      <c r="T23" s="148">
        <f t="shared" si="11"/>
        <v>0</v>
      </c>
      <c r="U23" s="90"/>
      <c r="V23" s="90"/>
      <c r="W23" s="175"/>
      <c r="X23" s="176"/>
      <c r="Z23" s="124">
        <f t="shared" si="12"/>
        <v>0.375</v>
      </c>
      <c r="AA23" s="125">
        <f t="shared" si="13"/>
        <v>0.5</v>
      </c>
      <c r="AB23" s="124">
        <f t="shared" si="14"/>
        <v>0.54166666666666663</v>
      </c>
      <c r="AC23" s="124">
        <f t="shared" si="15"/>
        <v>0</v>
      </c>
      <c r="AD23" s="124">
        <f t="shared" si="16"/>
        <v>0</v>
      </c>
      <c r="AE23" s="181">
        <f t="shared" si="17"/>
        <v>0</v>
      </c>
      <c r="AF23" s="4"/>
    </row>
    <row r="24" spans="1:32" ht="18" customHeight="1" x14ac:dyDescent="0.2">
      <c r="A24" s="34">
        <f t="shared" si="2"/>
        <v>6</v>
      </c>
      <c r="B24" s="38">
        <f t="shared" si="18"/>
        <v>45247</v>
      </c>
      <c r="C24" s="39">
        <f t="shared" si="3"/>
        <v>45247</v>
      </c>
      <c r="D24" s="105" t="s">
        <v>14</v>
      </c>
      <c r="E24" s="122">
        <v>800</v>
      </c>
      <c r="F24" s="122">
        <v>1200</v>
      </c>
      <c r="G24" s="122"/>
      <c r="H24" s="122"/>
      <c r="I24" s="122"/>
      <c r="J24" s="122"/>
      <c r="K24" s="68">
        <f t="shared" si="4"/>
        <v>0.16667000000000001</v>
      </c>
      <c r="L24" s="140">
        <f t="shared" si="0"/>
        <v>0</v>
      </c>
      <c r="M24" s="40">
        <f t="shared" si="5"/>
        <v>0</v>
      </c>
      <c r="N24" s="40">
        <f t="shared" si="6"/>
        <v>0</v>
      </c>
      <c r="O24" s="142">
        <f t="shared" si="7"/>
        <v>0.16666666666666669</v>
      </c>
      <c r="P24" s="127">
        <f t="shared" si="1"/>
        <v>0</v>
      </c>
      <c r="Q24" s="134" t="str">
        <f t="shared" si="8"/>
        <v/>
      </c>
      <c r="R24" s="127" t="str">
        <f t="shared" si="9"/>
        <v/>
      </c>
      <c r="S24" s="142">
        <f t="shared" si="10"/>
        <v>0</v>
      </c>
      <c r="T24" s="148">
        <f t="shared" si="11"/>
        <v>0.16666666666666669</v>
      </c>
      <c r="U24" s="90"/>
      <c r="V24" s="90"/>
      <c r="W24" s="150"/>
      <c r="X24" s="90"/>
      <c r="Z24" s="124">
        <f t="shared" si="12"/>
        <v>0.33333333333333331</v>
      </c>
      <c r="AA24" s="125">
        <f t="shared" si="13"/>
        <v>0.5</v>
      </c>
      <c r="AB24" s="124">
        <f t="shared" si="14"/>
        <v>0</v>
      </c>
      <c r="AC24" s="124">
        <f t="shared" si="15"/>
        <v>0</v>
      </c>
      <c r="AD24" s="124">
        <f t="shared" si="16"/>
        <v>0</v>
      </c>
      <c r="AE24" s="181">
        <f t="shared" si="17"/>
        <v>0</v>
      </c>
    </row>
    <row r="25" spans="1:32" ht="18" customHeight="1" x14ac:dyDescent="0.2">
      <c r="A25" s="34">
        <f t="shared" si="2"/>
        <v>7</v>
      </c>
      <c r="B25" s="38">
        <f t="shared" si="18"/>
        <v>45248</v>
      </c>
      <c r="C25" s="39">
        <f t="shared" si="3"/>
        <v>45248</v>
      </c>
      <c r="D25" s="105"/>
      <c r="E25" s="122">
        <v>400</v>
      </c>
      <c r="F25" s="122">
        <v>1200</v>
      </c>
      <c r="G25" s="122">
        <v>1300</v>
      </c>
      <c r="H25" s="122">
        <v>1800</v>
      </c>
      <c r="I25" s="122"/>
      <c r="J25" s="122"/>
      <c r="K25" s="68">
        <f t="shared" si="4"/>
        <v>0.5</v>
      </c>
      <c r="L25" s="140">
        <f t="shared" si="0"/>
        <v>4.1666666666666685E-2</v>
      </c>
      <c r="M25" s="40">
        <f t="shared" si="5"/>
        <v>5.9523809523809521E-3</v>
      </c>
      <c r="N25" s="40">
        <f t="shared" si="6"/>
        <v>4.7619047619047637E-2</v>
      </c>
      <c r="O25" s="142">
        <f t="shared" si="7"/>
        <v>0.54761904761904767</v>
      </c>
      <c r="P25" s="127">
        <f t="shared" si="1"/>
        <v>0.30555555555555552</v>
      </c>
      <c r="Q25" s="134" t="str">
        <f t="shared" si="8"/>
        <v/>
      </c>
      <c r="R25" s="127" t="str">
        <f t="shared" si="9"/>
        <v/>
      </c>
      <c r="S25" s="142">
        <f t="shared" si="10"/>
        <v>0.24206349206349215</v>
      </c>
      <c r="T25" s="148">
        <f t="shared" si="11"/>
        <v>0</v>
      </c>
      <c r="U25" s="90"/>
      <c r="V25" s="90"/>
      <c r="W25" s="169" t="s">
        <v>79</v>
      </c>
      <c r="X25" s="98">
        <f>N39</f>
        <v>3.4325396825396828</v>
      </c>
      <c r="Z25" s="124">
        <f t="shared" si="12"/>
        <v>0.16666666666666666</v>
      </c>
      <c r="AA25" s="125">
        <f t="shared" si="13"/>
        <v>0.5</v>
      </c>
      <c r="AB25" s="124">
        <f t="shared" si="14"/>
        <v>0.54166666666666663</v>
      </c>
      <c r="AC25" s="124">
        <f t="shared" si="15"/>
        <v>0.75</v>
      </c>
      <c r="AD25" s="124">
        <f t="shared" si="16"/>
        <v>0</v>
      </c>
      <c r="AE25" s="181">
        <f t="shared" si="17"/>
        <v>0</v>
      </c>
    </row>
    <row r="26" spans="1:32" ht="18" customHeight="1" x14ac:dyDescent="0.2">
      <c r="A26" s="34">
        <f t="shared" si="2"/>
        <v>1</v>
      </c>
      <c r="B26" s="38">
        <f t="shared" si="18"/>
        <v>45249</v>
      </c>
      <c r="C26" s="39">
        <f t="shared" si="3"/>
        <v>45249</v>
      </c>
      <c r="D26" s="105"/>
      <c r="E26" s="122">
        <v>430</v>
      </c>
      <c r="F26" s="122">
        <v>1300</v>
      </c>
      <c r="G26" s="122">
        <v>1330</v>
      </c>
      <c r="H26" s="122">
        <v>1600</v>
      </c>
      <c r="I26" s="122"/>
      <c r="J26" s="122"/>
      <c r="K26" s="68">
        <f t="shared" si="4"/>
        <v>0.4375</v>
      </c>
      <c r="L26" s="140">
        <f t="shared" si="0"/>
        <v>2.0833333333333343E-2</v>
      </c>
      <c r="M26" s="40">
        <f t="shared" si="5"/>
        <v>2.976190476190476E-3</v>
      </c>
      <c r="N26" s="40">
        <f t="shared" si="6"/>
        <v>2.3809523809523819E-2</v>
      </c>
      <c r="O26" s="142">
        <f t="shared" si="7"/>
        <v>0.46130952380952372</v>
      </c>
      <c r="P26" s="127">
        <f t="shared" si="1"/>
        <v>0.30555555555555552</v>
      </c>
      <c r="Q26" s="134" t="str">
        <f t="shared" si="8"/>
        <v/>
      </c>
      <c r="R26" s="127" t="str">
        <f t="shared" si="9"/>
        <v/>
      </c>
      <c r="S26" s="142">
        <f t="shared" si="10"/>
        <v>0.1557539682539682</v>
      </c>
      <c r="T26" s="148">
        <f t="shared" si="11"/>
        <v>0</v>
      </c>
      <c r="U26" s="90"/>
      <c r="V26" s="90"/>
      <c r="W26" s="170" t="s">
        <v>74</v>
      </c>
      <c r="X26" s="171">
        <f>O39</f>
        <v>14.224206349206352</v>
      </c>
      <c r="Z26" s="124">
        <f t="shared" si="12"/>
        <v>0.1875</v>
      </c>
      <c r="AA26" s="125">
        <f t="shared" si="13"/>
        <v>0.54166666666666663</v>
      </c>
      <c r="AB26" s="124">
        <f t="shared" si="14"/>
        <v>0.5625</v>
      </c>
      <c r="AC26" s="124">
        <f t="shared" si="15"/>
        <v>0.66666666666666663</v>
      </c>
      <c r="AD26" s="124">
        <f t="shared" si="16"/>
        <v>0</v>
      </c>
      <c r="AE26" s="181">
        <f t="shared" si="17"/>
        <v>0</v>
      </c>
    </row>
    <row r="27" spans="1:32" ht="18" customHeight="1" x14ac:dyDescent="0.2">
      <c r="A27" s="34">
        <f t="shared" si="2"/>
        <v>8</v>
      </c>
      <c r="B27" s="38">
        <f t="shared" si="18"/>
        <v>45250</v>
      </c>
      <c r="C27" s="39" t="str">
        <f t="shared" si="3"/>
        <v>feriado</v>
      </c>
      <c r="D27" s="105"/>
      <c r="E27" s="122">
        <v>430</v>
      </c>
      <c r="F27" s="122">
        <v>1400</v>
      </c>
      <c r="G27" s="122">
        <v>1530</v>
      </c>
      <c r="H27" s="122">
        <v>1800</v>
      </c>
      <c r="I27" s="122">
        <v>1900</v>
      </c>
      <c r="J27" s="122">
        <v>2300</v>
      </c>
      <c r="K27" s="68">
        <f t="shared" si="4"/>
        <v>0.60416999999999998</v>
      </c>
      <c r="L27" s="140">
        <f t="shared" si="0"/>
        <v>6.2500000000000083E-2</v>
      </c>
      <c r="M27" s="40">
        <f t="shared" si="5"/>
        <v>8.9285714285714385E-3</v>
      </c>
      <c r="N27" s="40">
        <f t="shared" si="6"/>
        <v>7.1428571428571522E-2</v>
      </c>
      <c r="O27" s="142">
        <f t="shared" si="7"/>
        <v>0.67559523809523814</v>
      </c>
      <c r="P27" s="127">
        <f t="shared" si="1"/>
        <v>0.30555555555555552</v>
      </c>
      <c r="Q27" s="134" t="str">
        <f t="shared" si="8"/>
        <v/>
      </c>
      <c r="R27" s="127" t="str">
        <f t="shared" si="9"/>
        <v/>
      </c>
      <c r="S27" s="142">
        <f t="shared" si="10"/>
        <v>0.37003968253968261</v>
      </c>
      <c r="T27" s="148">
        <f t="shared" si="11"/>
        <v>0</v>
      </c>
      <c r="U27" s="90"/>
      <c r="V27" s="90"/>
      <c r="W27" s="157" t="s">
        <v>75</v>
      </c>
      <c r="X27" s="158">
        <f>Q39</f>
        <v>0</v>
      </c>
      <c r="Z27" s="124">
        <f t="shared" si="12"/>
        <v>0.1875</v>
      </c>
      <c r="AA27" s="125">
        <f t="shared" si="13"/>
        <v>0.58333333333333337</v>
      </c>
      <c r="AB27" s="124">
        <f t="shared" si="14"/>
        <v>0.64583333333333337</v>
      </c>
      <c r="AC27" s="124">
        <f t="shared" si="15"/>
        <v>0.75</v>
      </c>
      <c r="AD27" s="124">
        <f t="shared" si="16"/>
        <v>0.79166666666666663</v>
      </c>
      <c r="AE27" s="181">
        <f t="shared" si="17"/>
        <v>0.95833333333333337</v>
      </c>
    </row>
    <row r="28" spans="1:32" ht="18" customHeight="1" x14ac:dyDescent="0.2">
      <c r="A28" s="34">
        <f t="shared" si="2"/>
        <v>3</v>
      </c>
      <c r="B28" s="38">
        <f t="shared" si="18"/>
        <v>45251</v>
      </c>
      <c r="C28" s="39">
        <f t="shared" si="3"/>
        <v>45251</v>
      </c>
      <c r="D28" s="105"/>
      <c r="E28" s="122">
        <v>400</v>
      </c>
      <c r="F28" s="122">
        <v>1600</v>
      </c>
      <c r="G28" s="122">
        <v>1700</v>
      </c>
      <c r="H28" s="122">
        <v>2200</v>
      </c>
      <c r="I28" s="122">
        <v>2200</v>
      </c>
      <c r="J28" s="122">
        <v>400</v>
      </c>
      <c r="K28" s="68">
        <f t="shared" si="4"/>
        <v>0.66666999999999998</v>
      </c>
      <c r="L28" s="140">
        <f t="shared" si="0"/>
        <v>0.2916666666666668</v>
      </c>
      <c r="M28" s="40">
        <f t="shared" si="5"/>
        <v>4.1666666666666685E-2</v>
      </c>
      <c r="N28" s="40">
        <f t="shared" si="6"/>
        <v>0.33333333333333348</v>
      </c>
      <c r="O28" s="142">
        <f t="shared" si="7"/>
        <v>1</v>
      </c>
      <c r="P28" s="127">
        <f t="shared" si="1"/>
        <v>0.30555555555555552</v>
      </c>
      <c r="Q28" s="134" t="str">
        <f t="shared" si="8"/>
        <v/>
      </c>
      <c r="R28" s="127" t="str">
        <f t="shared" si="9"/>
        <v/>
      </c>
      <c r="S28" s="142">
        <f t="shared" si="10"/>
        <v>0.69444444444444442</v>
      </c>
      <c r="T28" s="148">
        <f t="shared" si="11"/>
        <v>0</v>
      </c>
      <c r="U28" s="90"/>
      <c r="V28" s="90"/>
      <c r="W28" s="163" t="s">
        <v>76</v>
      </c>
      <c r="X28" s="164">
        <f>R39</f>
        <v>6.9232142857142884</v>
      </c>
      <c r="Z28" s="124">
        <f t="shared" si="12"/>
        <v>0.16666666666666666</v>
      </c>
      <c r="AA28" s="125">
        <f t="shared" si="13"/>
        <v>0.66666666666666663</v>
      </c>
      <c r="AB28" s="124">
        <f t="shared" si="14"/>
        <v>0.70833333333333337</v>
      </c>
      <c r="AC28" s="124">
        <f t="shared" si="15"/>
        <v>0.91666666666666663</v>
      </c>
      <c r="AD28" s="124">
        <f t="shared" si="16"/>
        <v>0.91666666666666663</v>
      </c>
      <c r="AE28" s="181">
        <f t="shared" si="17"/>
        <v>0.16666666666666666</v>
      </c>
    </row>
    <row r="29" spans="1:32" ht="18" customHeight="1" x14ac:dyDescent="0.2">
      <c r="A29" s="34">
        <f t="shared" si="2"/>
        <v>4</v>
      </c>
      <c r="B29" s="38">
        <f t="shared" si="18"/>
        <v>45252</v>
      </c>
      <c r="C29" s="39">
        <f t="shared" si="3"/>
        <v>45252</v>
      </c>
      <c r="D29" s="105"/>
      <c r="E29" s="122">
        <v>300</v>
      </c>
      <c r="F29" s="122">
        <v>600</v>
      </c>
      <c r="G29" s="122">
        <v>1000</v>
      </c>
      <c r="H29" s="122">
        <v>2300</v>
      </c>
      <c r="I29" s="122"/>
      <c r="J29" s="122"/>
      <c r="K29" s="68">
        <f t="shared" si="4"/>
        <v>0.54166999999999998</v>
      </c>
      <c r="L29" s="140">
        <f t="shared" si="0"/>
        <v>0.12500000000000008</v>
      </c>
      <c r="M29" s="40">
        <f t="shared" si="5"/>
        <v>1.7857142857142877E-2</v>
      </c>
      <c r="N29" s="40">
        <f t="shared" si="6"/>
        <v>0.14285714285714296</v>
      </c>
      <c r="O29" s="142">
        <f t="shared" si="7"/>
        <v>0.68452380952380965</v>
      </c>
      <c r="P29" s="127">
        <f t="shared" si="1"/>
        <v>0.30555555555555552</v>
      </c>
      <c r="Q29" s="134" t="str">
        <f t="shared" si="8"/>
        <v/>
      </c>
      <c r="R29" s="127" t="str">
        <f t="shared" si="9"/>
        <v/>
      </c>
      <c r="S29" s="142">
        <f t="shared" si="10"/>
        <v>0.37896825396825412</v>
      </c>
      <c r="T29" s="148">
        <f t="shared" si="11"/>
        <v>0</v>
      </c>
      <c r="U29" s="90"/>
      <c r="V29" s="90"/>
      <c r="W29" s="157" t="s">
        <v>77</v>
      </c>
      <c r="X29" s="158">
        <f>S39</f>
        <v>6.0148809523809543</v>
      </c>
      <c r="Z29" s="124">
        <f t="shared" si="12"/>
        <v>0.125</v>
      </c>
      <c r="AA29" s="125">
        <f t="shared" si="13"/>
        <v>0.25</v>
      </c>
      <c r="AB29" s="124">
        <f t="shared" si="14"/>
        <v>0.41666666666666669</v>
      </c>
      <c r="AC29" s="124">
        <f t="shared" si="15"/>
        <v>0.95833333333333337</v>
      </c>
      <c r="AD29" s="124">
        <f t="shared" si="16"/>
        <v>0</v>
      </c>
      <c r="AE29" s="181">
        <f t="shared" si="17"/>
        <v>0</v>
      </c>
    </row>
    <row r="30" spans="1:32" ht="18" customHeight="1" x14ac:dyDescent="0.2">
      <c r="A30" s="34">
        <f t="shared" si="2"/>
        <v>5</v>
      </c>
      <c r="B30" s="38">
        <f t="shared" si="18"/>
        <v>45253</v>
      </c>
      <c r="C30" s="39">
        <f t="shared" si="3"/>
        <v>45253</v>
      </c>
      <c r="D30" s="105"/>
      <c r="E30" s="122">
        <v>330</v>
      </c>
      <c r="F30" s="122">
        <v>1200</v>
      </c>
      <c r="G30" s="122">
        <v>1300</v>
      </c>
      <c r="H30" s="122">
        <v>1900</v>
      </c>
      <c r="I30" s="122"/>
      <c r="J30" s="122"/>
      <c r="K30" s="68">
        <f t="shared" si="4"/>
        <v>0.54166999999999998</v>
      </c>
      <c r="L30" s="140">
        <f t="shared" si="0"/>
        <v>6.25E-2</v>
      </c>
      <c r="M30" s="40">
        <f t="shared" si="5"/>
        <v>8.9285714285714246E-3</v>
      </c>
      <c r="N30" s="40">
        <f t="shared" si="6"/>
        <v>7.1428571428571425E-2</v>
      </c>
      <c r="O30" s="142">
        <f t="shared" si="7"/>
        <v>0.61309523809523803</v>
      </c>
      <c r="P30" s="127">
        <f t="shared" si="1"/>
        <v>0.30555555555555552</v>
      </c>
      <c r="Q30" s="134" t="str">
        <f t="shared" si="8"/>
        <v/>
      </c>
      <c r="R30" s="127" t="str">
        <f t="shared" si="9"/>
        <v/>
      </c>
      <c r="S30" s="142">
        <f t="shared" si="10"/>
        <v>0.3075396825396825</v>
      </c>
      <c r="T30" s="148">
        <f t="shared" si="11"/>
        <v>0</v>
      </c>
      <c r="U30" s="90"/>
      <c r="V30" s="90"/>
      <c r="W30" s="165" t="s">
        <v>78</v>
      </c>
      <c r="X30" s="166">
        <f>T39</f>
        <v>0.9107142857142857</v>
      </c>
      <c r="Z30" s="124">
        <f t="shared" si="12"/>
        <v>0.14583333333333334</v>
      </c>
      <c r="AA30" s="125">
        <f t="shared" si="13"/>
        <v>0.5</v>
      </c>
      <c r="AB30" s="124">
        <f t="shared" si="14"/>
        <v>0.54166666666666663</v>
      </c>
      <c r="AC30" s="124">
        <f t="shared" si="15"/>
        <v>0.79166666666666663</v>
      </c>
      <c r="AD30" s="124">
        <f t="shared" si="16"/>
        <v>0</v>
      </c>
      <c r="AE30" s="181">
        <f t="shared" si="17"/>
        <v>0</v>
      </c>
    </row>
    <row r="31" spans="1:32" ht="18" customHeight="1" x14ac:dyDescent="0.2">
      <c r="A31" s="34">
        <f t="shared" si="2"/>
        <v>6</v>
      </c>
      <c r="B31" s="38">
        <f t="shared" si="18"/>
        <v>45254</v>
      </c>
      <c r="C31" s="39">
        <f>IF(B31="","",IF(COUNTIF(fer,B31)&gt;0,"feriado",B31))</f>
        <v>45254</v>
      </c>
      <c r="D31" s="105" t="s">
        <v>14</v>
      </c>
      <c r="E31" s="122"/>
      <c r="F31" s="122"/>
      <c r="G31" s="122"/>
      <c r="H31" s="122"/>
      <c r="I31" s="122">
        <v>2200</v>
      </c>
      <c r="J31" s="122">
        <v>200</v>
      </c>
      <c r="K31" s="68">
        <f t="shared" si="4"/>
        <v>0</v>
      </c>
      <c r="L31" s="140">
        <f t="shared" si="0"/>
        <v>0.16666666666666663</v>
      </c>
      <c r="M31" s="40">
        <f t="shared" si="5"/>
        <v>2.3809523809523808E-2</v>
      </c>
      <c r="N31" s="40">
        <f t="shared" si="6"/>
        <v>0.19047619047619044</v>
      </c>
      <c r="O31" s="142">
        <f t="shared" si="7"/>
        <v>0.19047619047619055</v>
      </c>
      <c r="P31" s="127">
        <f t="shared" si="1"/>
        <v>0</v>
      </c>
      <c r="Q31" s="134" t="str">
        <f t="shared" si="8"/>
        <v/>
      </c>
      <c r="R31" s="127" t="str">
        <f t="shared" si="9"/>
        <v/>
      </c>
      <c r="S31" s="142">
        <f t="shared" si="10"/>
        <v>0</v>
      </c>
      <c r="T31" s="148">
        <f t="shared" si="11"/>
        <v>0.19047619047619055</v>
      </c>
      <c r="U31" s="90"/>
      <c r="V31" s="90"/>
      <c r="W31" s="90"/>
      <c r="X31" s="90"/>
      <c r="Z31" s="124">
        <f t="shared" si="12"/>
        <v>0</v>
      </c>
      <c r="AA31" s="125">
        <f t="shared" si="13"/>
        <v>0</v>
      </c>
      <c r="AB31" s="124">
        <f t="shared" si="14"/>
        <v>0</v>
      </c>
      <c r="AC31" s="124">
        <f t="shared" si="15"/>
        <v>0</v>
      </c>
      <c r="AD31" s="124">
        <f t="shared" si="16"/>
        <v>0.91666666666666663</v>
      </c>
      <c r="AE31" s="181">
        <f t="shared" si="17"/>
        <v>8.3333333333333329E-2</v>
      </c>
    </row>
    <row r="32" spans="1:32" ht="18" customHeight="1" x14ac:dyDescent="0.2">
      <c r="A32" s="34">
        <f t="shared" si="2"/>
        <v>7</v>
      </c>
      <c r="B32" s="38">
        <f t="shared" si="18"/>
        <v>45255</v>
      </c>
      <c r="C32" s="39">
        <f t="shared" si="3"/>
        <v>45255</v>
      </c>
      <c r="D32" s="105"/>
      <c r="E32" s="122">
        <v>900</v>
      </c>
      <c r="F32" s="122">
        <v>1200</v>
      </c>
      <c r="G32" s="122">
        <v>1300</v>
      </c>
      <c r="H32" s="122">
        <v>1800</v>
      </c>
      <c r="I32" s="122"/>
      <c r="J32" s="122"/>
      <c r="K32" s="68">
        <f t="shared" si="4"/>
        <v>0.33333000000000002</v>
      </c>
      <c r="L32" s="140">
        <f t="shared" si="0"/>
        <v>0</v>
      </c>
      <c r="M32" s="40">
        <f t="shared" si="5"/>
        <v>0</v>
      </c>
      <c r="N32" s="40">
        <f t="shared" si="6"/>
        <v>0</v>
      </c>
      <c r="O32" s="142">
        <f t="shared" si="7"/>
        <v>0.33333333333333337</v>
      </c>
      <c r="P32" s="127">
        <f t="shared" si="1"/>
        <v>0.30555555555555552</v>
      </c>
      <c r="Q32" s="134" t="str">
        <f t="shared" si="8"/>
        <v/>
      </c>
      <c r="R32" s="127" t="str">
        <f t="shared" si="9"/>
        <v/>
      </c>
      <c r="S32" s="142">
        <f t="shared" si="10"/>
        <v>2.7777777777777846E-2</v>
      </c>
      <c r="T32" s="148">
        <f t="shared" si="11"/>
        <v>0</v>
      </c>
      <c r="U32" s="90"/>
      <c r="V32" s="90"/>
      <c r="W32" s="159" t="str">
        <f>IF(X28-X29=0,0,(IF(X28-X29&lt;0,"Horas Extras","Horas Compensadas")))</f>
        <v>Horas Compensadas</v>
      </c>
      <c r="X32" s="168">
        <f>IF(X28-X29&lt;0,(X28*-1)-(X29*-1),X28-X29)</f>
        <v>0.9083333333333341</v>
      </c>
      <c r="Z32" s="124">
        <f t="shared" si="12"/>
        <v>0.375</v>
      </c>
      <c r="AA32" s="125">
        <f t="shared" si="13"/>
        <v>0.5</v>
      </c>
      <c r="AB32" s="124">
        <f t="shared" si="14"/>
        <v>0.54166666666666663</v>
      </c>
      <c r="AC32" s="124">
        <f t="shared" si="15"/>
        <v>0.75</v>
      </c>
      <c r="AD32" s="124">
        <f t="shared" si="16"/>
        <v>0</v>
      </c>
      <c r="AE32" s="181">
        <f t="shared" si="17"/>
        <v>0</v>
      </c>
    </row>
    <row r="33" spans="1:31" ht="18" customHeight="1" x14ac:dyDescent="0.2">
      <c r="A33" s="34">
        <f t="shared" si="2"/>
        <v>1</v>
      </c>
      <c r="B33" s="38">
        <f t="shared" si="18"/>
        <v>45256</v>
      </c>
      <c r="C33" s="39">
        <f t="shared" si="3"/>
        <v>45256</v>
      </c>
      <c r="D33" s="105"/>
      <c r="E33" s="122">
        <v>900</v>
      </c>
      <c r="F33" s="122">
        <v>1300</v>
      </c>
      <c r="G33" s="122">
        <v>1330</v>
      </c>
      <c r="H33" s="122">
        <v>1600</v>
      </c>
      <c r="I33" s="122"/>
      <c r="J33" s="122"/>
      <c r="K33" s="68">
        <f t="shared" si="4"/>
        <v>0.27083000000000002</v>
      </c>
      <c r="L33" s="140">
        <f t="shared" si="0"/>
        <v>0</v>
      </c>
      <c r="M33" s="40">
        <f t="shared" si="5"/>
        <v>0</v>
      </c>
      <c r="N33" s="40">
        <f t="shared" si="6"/>
        <v>0</v>
      </c>
      <c r="O33" s="142">
        <f t="shared" si="7"/>
        <v>0.27083333333333326</v>
      </c>
      <c r="P33" s="127">
        <f t="shared" si="1"/>
        <v>0.30555555555555552</v>
      </c>
      <c r="Q33" s="134" t="str">
        <f t="shared" si="8"/>
        <v/>
      </c>
      <c r="R33" s="127">
        <f t="shared" si="9"/>
        <v>3.4722222222222265E-2</v>
      </c>
      <c r="S33" s="142">
        <f t="shared" si="10"/>
        <v>0</v>
      </c>
      <c r="T33" s="148">
        <f t="shared" si="11"/>
        <v>0</v>
      </c>
      <c r="U33" s="90"/>
      <c r="V33" s="90"/>
      <c r="W33" s="90"/>
      <c r="X33" s="90"/>
      <c r="Z33" s="124">
        <f t="shared" si="12"/>
        <v>0.375</v>
      </c>
      <c r="AA33" s="125">
        <f t="shared" si="13"/>
        <v>0.54166666666666663</v>
      </c>
      <c r="AB33" s="124">
        <f t="shared" si="14"/>
        <v>0.5625</v>
      </c>
      <c r="AC33" s="124">
        <f t="shared" si="15"/>
        <v>0.66666666666666663</v>
      </c>
      <c r="AD33" s="124">
        <f t="shared" si="16"/>
        <v>0</v>
      </c>
      <c r="AE33" s="181">
        <f t="shared" si="17"/>
        <v>0</v>
      </c>
    </row>
    <row r="34" spans="1:31" ht="18" customHeight="1" x14ac:dyDescent="0.2">
      <c r="A34" s="34">
        <f t="shared" si="2"/>
        <v>2</v>
      </c>
      <c r="B34" s="38">
        <f t="shared" si="18"/>
        <v>45257</v>
      </c>
      <c r="C34" s="39">
        <f t="shared" si="3"/>
        <v>45257</v>
      </c>
      <c r="D34" s="105"/>
      <c r="E34" s="122">
        <v>1000</v>
      </c>
      <c r="F34" s="122">
        <v>1400</v>
      </c>
      <c r="G34" s="122">
        <v>1530</v>
      </c>
      <c r="H34" s="122">
        <v>2000</v>
      </c>
      <c r="I34" s="122"/>
      <c r="J34" s="122"/>
      <c r="K34" s="68">
        <f t="shared" si="4"/>
        <v>0.35416999999999998</v>
      </c>
      <c r="L34" s="140">
        <f t="shared" si="0"/>
        <v>0</v>
      </c>
      <c r="M34" s="40">
        <f t="shared" si="5"/>
        <v>0</v>
      </c>
      <c r="N34" s="40">
        <f t="shared" si="6"/>
        <v>0</v>
      </c>
      <c r="O34" s="142">
        <f t="shared" si="7"/>
        <v>0.35416666666666669</v>
      </c>
      <c r="P34" s="127">
        <f t="shared" si="1"/>
        <v>0.30555555555555552</v>
      </c>
      <c r="Q34" s="134" t="str">
        <f t="shared" si="8"/>
        <v/>
      </c>
      <c r="R34" s="127" t="str">
        <f t="shared" si="9"/>
        <v/>
      </c>
      <c r="S34" s="142">
        <f t="shared" si="10"/>
        <v>4.861111111111116E-2</v>
      </c>
      <c r="T34" s="148">
        <f t="shared" si="11"/>
        <v>0</v>
      </c>
      <c r="U34" s="90"/>
      <c r="V34" s="90"/>
      <c r="W34" s="90"/>
      <c r="X34" s="90"/>
      <c r="Z34" s="124">
        <f t="shared" si="12"/>
        <v>0.41666666666666669</v>
      </c>
      <c r="AA34" s="125">
        <f t="shared" si="13"/>
        <v>0.58333333333333337</v>
      </c>
      <c r="AB34" s="124">
        <f t="shared" si="14"/>
        <v>0.64583333333333337</v>
      </c>
      <c r="AC34" s="124">
        <f t="shared" si="15"/>
        <v>0.83333333333333337</v>
      </c>
      <c r="AD34" s="124">
        <f t="shared" si="16"/>
        <v>0</v>
      </c>
      <c r="AE34" s="181">
        <f t="shared" si="17"/>
        <v>0</v>
      </c>
    </row>
    <row r="35" spans="1:31" ht="18" customHeight="1" x14ac:dyDescent="0.2">
      <c r="A35" s="34">
        <f t="shared" si="2"/>
        <v>3</v>
      </c>
      <c r="B35" s="38">
        <f t="shared" si="18"/>
        <v>45258</v>
      </c>
      <c r="C35" s="39">
        <f t="shared" si="3"/>
        <v>45258</v>
      </c>
      <c r="D35" s="105"/>
      <c r="E35" s="122">
        <v>1200</v>
      </c>
      <c r="F35" s="122">
        <v>1600</v>
      </c>
      <c r="G35" s="122">
        <v>1700</v>
      </c>
      <c r="H35" s="122">
        <v>2250</v>
      </c>
      <c r="I35" s="122"/>
      <c r="J35" s="122"/>
      <c r="K35" s="68">
        <f t="shared" si="4"/>
        <v>0.375</v>
      </c>
      <c r="L35" s="140">
        <f t="shared" si="0"/>
        <v>3.472222222222221E-2</v>
      </c>
      <c r="M35" s="40">
        <f t="shared" si="5"/>
        <v>4.9603174603174566E-3</v>
      </c>
      <c r="N35" s="40">
        <f t="shared" si="6"/>
        <v>3.9682539682539666E-2</v>
      </c>
      <c r="O35" s="142">
        <f t="shared" si="7"/>
        <v>0.41468253968253954</v>
      </c>
      <c r="P35" s="127">
        <f t="shared" si="1"/>
        <v>0.30555555555555552</v>
      </c>
      <c r="Q35" s="134" t="str">
        <f t="shared" si="8"/>
        <v/>
      </c>
      <c r="R35" s="127" t="str">
        <f t="shared" si="9"/>
        <v/>
      </c>
      <c r="S35" s="142">
        <f t="shared" si="10"/>
        <v>0.10912698412698402</v>
      </c>
      <c r="T35" s="148">
        <f t="shared" si="11"/>
        <v>0</v>
      </c>
      <c r="U35" s="90"/>
      <c r="V35" s="90"/>
      <c r="W35" s="90"/>
      <c r="X35" s="90"/>
      <c r="Z35" s="124">
        <f t="shared" si="12"/>
        <v>0.5</v>
      </c>
      <c r="AA35" s="125">
        <f t="shared" si="13"/>
        <v>0.66666666666666663</v>
      </c>
      <c r="AB35" s="124">
        <f t="shared" si="14"/>
        <v>0.70833333333333337</v>
      </c>
      <c r="AC35" s="124">
        <f t="shared" si="15"/>
        <v>0.95138888888888884</v>
      </c>
      <c r="AD35" s="124">
        <f t="shared" si="16"/>
        <v>0</v>
      </c>
      <c r="AE35" s="181">
        <f t="shared" si="17"/>
        <v>0</v>
      </c>
    </row>
    <row r="36" spans="1:31" ht="18" customHeight="1" x14ac:dyDescent="0.2">
      <c r="A36" s="34">
        <f t="shared" si="2"/>
        <v>4</v>
      </c>
      <c r="B36" s="38">
        <f>IF(B35="","",IF(B35&gt;=W117,"",B35+1))</f>
        <v>45259</v>
      </c>
      <c r="C36" s="39">
        <f t="shared" si="3"/>
        <v>45259</v>
      </c>
      <c r="D36" s="105"/>
      <c r="E36" s="122"/>
      <c r="F36" s="122"/>
      <c r="G36" s="122"/>
      <c r="H36" s="122"/>
      <c r="I36" s="122"/>
      <c r="J36" s="122"/>
      <c r="K36" s="68">
        <f t="shared" si="4"/>
        <v>0</v>
      </c>
      <c r="L36" s="140">
        <f t="shared" si="0"/>
        <v>0</v>
      </c>
      <c r="M36" s="40">
        <f t="shared" si="5"/>
        <v>0</v>
      </c>
      <c r="N36" s="40">
        <f t="shared" si="6"/>
        <v>0</v>
      </c>
      <c r="O36" s="142">
        <f t="shared" si="7"/>
        <v>0</v>
      </c>
      <c r="P36" s="127">
        <f t="shared" si="1"/>
        <v>0.30555555555555552</v>
      </c>
      <c r="Q36" s="134" t="str">
        <f t="shared" si="8"/>
        <v/>
      </c>
      <c r="R36" s="127">
        <f t="shared" si="9"/>
        <v>0.30555555555555552</v>
      </c>
      <c r="S36" s="142">
        <f t="shared" si="10"/>
        <v>0</v>
      </c>
      <c r="T36" s="148">
        <f t="shared" si="11"/>
        <v>0</v>
      </c>
      <c r="U36" s="90"/>
      <c r="V36" s="90"/>
      <c r="W36" s="90"/>
      <c r="X36" s="90"/>
      <c r="Z36" s="124">
        <f t="shared" si="12"/>
        <v>0</v>
      </c>
      <c r="AA36" s="125">
        <f t="shared" si="13"/>
        <v>0</v>
      </c>
      <c r="AB36" s="124">
        <f t="shared" si="14"/>
        <v>0</v>
      </c>
      <c r="AC36" s="124">
        <f t="shared" si="15"/>
        <v>0</v>
      </c>
      <c r="AD36" s="124">
        <f t="shared" si="16"/>
        <v>0</v>
      </c>
      <c r="AE36" s="181">
        <f t="shared" si="17"/>
        <v>0</v>
      </c>
    </row>
    <row r="37" spans="1:31" ht="18" customHeight="1" x14ac:dyDescent="0.2">
      <c r="A37" s="34">
        <f t="shared" si="2"/>
        <v>5</v>
      </c>
      <c r="B37" s="38">
        <f>IF(B36="","",IF(B36&gt;=W117,"",B36+1))</f>
        <v>45260</v>
      </c>
      <c r="C37" s="39">
        <f t="shared" si="3"/>
        <v>45260</v>
      </c>
      <c r="D37" s="105"/>
      <c r="E37" s="122"/>
      <c r="F37" s="122"/>
      <c r="G37" s="122"/>
      <c r="H37" s="122"/>
      <c r="I37" s="122"/>
      <c r="J37" s="122"/>
      <c r="K37" s="68">
        <f t="shared" si="4"/>
        <v>0</v>
      </c>
      <c r="L37" s="140">
        <f t="shared" si="0"/>
        <v>0</v>
      </c>
      <c r="M37" s="40">
        <f t="shared" si="5"/>
        <v>0</v>
      </c>
      <c r="N37" s="40">
        <f t="shared" si="6"/>
        <v>0</v>
      </c>
      <c r="O37" s="142">
        <f t="shared" si="7"/>
        <v>0</v>
      </c>
      <c r="P37" s="127">
        <f t="shared" si="1"/>
        <v>0.30555555555555552</v>
      </c>
      <c r="Q37" s="134" t="str">
        <f t="shared" si="8"/>
        <v/>
      </c>
      <c r="R37" s="127">
        <f t="shared" si="9"/>
        <v>0.30555555555555552</v>
      </c>
      <c r="S37" s="142">
        <f t="shared" si="10"/>
        <v>0</v>
      </c>
      <c r="T37" s="148">
        <f t="shared" si="11"/>
        <v>0</v>
      </c>
      <c r="U37" s="90"/>
      <c r="V37" s="90"/>
      <c r="W37" s="90"/>
      <c r="X37" s="90"/>
      <c r="Z37" s="124">
        <f t="shared" si="12"/>
        <v>0</v>
      </c>
      <c r="AA37" s="125">
        <f t="shared" si="13"/>
        <v>0</v>
      </c>
      <c r="AB37" s="124">
        <f t="shared" si="14"/>
        <v>0</v>
      </c>
      <c r="AC37" s="124">
        <f t="shared" si="15"/>
        <v>0</v>
      </c>
      <c r="AD37" s="124">
        <f t="shared" si="16"/>
        <v>0</v>
      </c>
      <c r="AE37" s="181">
        <f t="shared" si="17"/>
        <v>0</v>
      </c>
    </row>
    <row r="38" spans="1:31" ht="18" customHeight="1" x14ac:dyDescent="0.2">
      <c r="A38" s="34" t="str">
        <f t="shared" si="2"/>
        <v/>
      </c>
      <c r="B38" s="41" t="str">
        <f>IF(B37="","",IF(B37&gt;=W117,"",B37+1))</f>
        <v/>
      </c>
      <c r="C38" s="42" t="str">
        <f t="shared" si="3"/>
        <v/>
      </c>
      <c r="D38" s="106"/>
      <c r="E38" s="123"/>
      <c r="F38" s="122"/>
      <c r="G38" s="122"/>
      <c r="H38" s="123"/>
      <c r="I38" s="123"/>
      <c r="J38" s="123"/>
      <c r="K38" s="75" t="str">
        <f t="shared" si="4"/>
        <v/>
      </c>
      <c r="L38" s="75" t="str">
        <f t="shared" si="0"/>
        <v/>
      </c>
      <c r="M38" s="43" t="str">
        <f t="shared" si="5"/>
        <v/>
      </c>
      <c r="N38" s="43" t="str">
        <f t="shared" si="6"/>
        <v/>
      </c>
      <c r="O38" s="44" t="str">
        <f>IF(B38="","",MOD((AA38-Z38)+(AC38-AB38)+(AE38-AD38),1)+M38)</f>
        <v/>
      </c>
      <c r="P38" s="126" t="str">
        <f t="shared" si="1"/>
        <v/>
      </c>
      <c r="Q38" s="134" t="str">
        <f t="shared" si="8"/>
        <v/>
      </c>
      <c r="R38" s="127" t="str">
        <f t="shared" si="9"/>
        <v/>
      </c>
      <c r="S38" s="44" t="str">
        <f>IF(B38="","",IF(AND(WEEKDAY(B38,1)=7,P38=0,D38&lt;&gt;"F"),MAX(0,O38-P38),IF(P38=0,0,MAX(0,O38-P38))))</f>
        <v/>
      </c>
      <c r="T38" s="45" t="str">
        <f>IF(B38="","",IF(AND(WEEKDAY(B38,1)=7,P38=0,D38="F"),0,IF(P38=0,O38,0)))</f>
        <v/>
      </c>
      <c r="U38" s="90"/>
      <c r="V38" s="90"/>
      <c r="W38" s="90"/>
      <c r="X38" s="90"/>
      <c r="Z38" s="124" t="str">
        <f t="shared" si="12"/>
        <v/>
      </c>
      <c r="AA38" s="125" t="str">
        <f t="shared" si="13"/>
        <v/>
      </c>
      <c r="AB38" s="124" t="str">
        <f t="shared" si="14"/>
        <v/>
      </c>
      <c r="AC38" s="124" t="str">
        <f t="shared" si="15"/>
        <v/>
      </c>
      <c r="AD38" s="124" t="str">
        <f t="shared" si="16"/>
        <v/>
      </c>
      <c r="AE38" s="181" t="str">
        <f t="shared" si="17"/>
        <v/>
      </c>
    </row>
    <row r="39" spans="1:31" ht="18" customHeight="1" x14ac:dyDescent="0.2">
      <c r="B39" s="54" t="s">
        <v>24</v>
      </c>
      <c r="C39" s="54" t="s">
        <v>25</v>
      </c>
      <c r="D39" s="54"/>
      <c r="E39" s="54" t="s">
        <v>30</v>
      </c>
      <c r="F39" s="54" t="s">
        <v>31</v>
      </c>
      <c r="G39" s="54" t="s">
        <v>32</v>
      </c>
      <c r="H39" s="54" t="s">
        <v>33</v>
      </c>
      <c r="I39" s="61"/>
      <c r="J39" s="61"/>
      <c r="K39" s="61" t="s">
        <v>34</v>
      </c>
      <c r="L39" s="62" t="s">
        <v>35</v>
      </c>
      <c r="M39" s="63" t="s">
        <v>36</v>
      </c>
      <c r="N39" s="64">
        <f>SUM(N8:N38)</f>
        <v>3.4325396825396828</v>
      </c>
      <c r="O39" s="64">
        <f>SUM(O8:O38)</f>
        <v>14.224206349206352</v>
      </c>
      <c r="P39" s="59" t="s">
        <v>36</v>
      </c>
      <c r="Q39" s="64">
        <f>SUM(Q8:Q38)</f>
        <v>0</v>
      </c>
      <c r="R39" s="64">
        <f>SUM(R7:R38)</f>
        <v>6.9232142857142884</v>
      </c>
      <c r="S39" s="64">
        <f>SUM(S7:S38)</f>
        <v>6.0148809523809543</v>
      </c>
      <c r="T39" s="64">
        <f>SUM(T8:T38)</f>
        <v>0.9107142857142857</v>
      </c>
      <c r="U39" s="91"/>
      <c r="V39" s="91"/>
      <c r="W39" s="91"/>
      <c r="X39" s="91"/>
    </row>
    <row r="40" spans="1:31" ht="18" customHeight="1" x14ac:dyDescent="0.2">
      <c r="B40" s="55">
        <f>B8</f>
        <v>45231</v>
      </c>
      <c r="C40" s="55">
        <f>MAX(B8:B38)</f>
        <v>45260</v>
      </c>
      <c r="D40" s="55"/>
      <c r="E40" s="56">
        <f>COUNTIF(C8:C38,"feriado")</f>
        <v>3</v>
      </c>
      <c r="F40" s="57">
        <f ca="1">SUMPRODUCT((WEEKDAY(ROW(INDIRECT($B40&amp;":"&amp;$C40)))=1)*(COUNTIF(fer,ROW(INDIRECT($B40&amp;":"&amp;$C40)))=0))</f>
        <v>4</v>
      </c>
      <c r="G40" s="57">
        <f>C40-B40+1</f>
        <v>30</v>
      </c>
      <c r="H40" s="57">
        <f ca="1">G40-K40</f>
        <v>23</v>
      </c>
      <c r="I40" s="60"/>
      <c r="J40" s="60"/>
      <c r="K40" s="60">
        <f ca="1">E40+F40</f>
        <v>7</v>
      </c>
      <c r="L40" s="65" t="str">
        <f ca="1">H40&amp;"/"&amp;K40</f>
        <v>23/7</v>
      </c>
      <c r="M40" s="66" t="s">
        <v>37</v>
      </c>
      <c r="N40" s="58">
        <f>N39*24</f>
        <v>82.38095238095238</v>
      </c>
      <c r="O40" s="58">
        <f>O39*24</f>
        <v>341.38095238095241</v>
      </c>
      <c r="P40" s="59" t="s">
        <v>37</v>
      </c>
      <c r="Q40" s="58">
        <f t="shared" ref="Q40:R40" si="19">Q39*24</f>
        <v>0</v>
      </c>
      <c r="R40" s="58">
        <f t="shared" si="19"/>
        <v>166.15714285714293</v>
      </c>
      <c r="S40" s="58">
        <f>S39*24</f>
        <v>144.35714285714289</v>
      </c>
      <c r="T40" s="58">
        <f>T39*24</f>
        <v>21.857142857142858</v>
      </c>
      <c r="U40" s="92"/>
      <c r="V40" s="92"/>
      <c r="W40" s="92"/>
      <c r="X40" s="92"/>
    </row>
    <row r="41" spans="1:31" ht="18" customHeight="1" x14ac:dyDescent="0.2">
      <c r="B41" s="114" t="str">
        <f>IF(dia_f="","",DATE(YEAR(W117),MONTH(W117),1))</f>
        <v/>
      </c>
      <c r="C41" s="115" t="str">
        <f>IF(dia_f="","",EOMONTH(B41,0))</f>
        <v/>
      </c>
      <c r="D41" s="67"/>
      <c r="E41" s="56" t="str">
        <f>IF(B41="","",SUMPRODUCT(((WEEKDAY(fer)&gt;1))*(fer&gt;=B41)*(fer&lt;=C41)))</f>
        <v/>
      </c>
      <c r="F41" s="57" t="str">
        <f ca="1">IF(B41="","",SUMPRODUCT((WEEKDAY(ROW(INDIRECT($B41&amp;":"&amp;$C41)))=1)*1))</f>
        <v/>
      </c>
      <c r="G41" s="107" t="str">
        <f>IF(B41="","",DAY(C41))</f>
        <v/>
      </c>
      <c r="H41" s="107" t="str">
        <f ca="1">IF(B41="","",SUMPRODUCT((WEEKDAY(ROW(INDIRECT(B41&amp;":"&amp;C41)))&gt;1)*(COUNTIF(fer,ROW(INDIRECT(B41&amp;":"&amp;C41)))=0)))</f>
        <v/>
      </c>
      <c r="I41" s="107"/>
      <c r="J41" s="107"/>
      <c r="K41" s="60" t="str">
        <f>IF(B41="","",E41+F41)</f>
        <v/>
      </c>
      <c r="L41" s="65" t="str">
        <f>IF(B41="","",H41&amp;"/"&amp;K41)</f>
        <v/>
      </c>
      <c r="M41" s="67" t="s">
        <v>38</v>
      </c>
      <c r="N41" s="58">
        <f ca="1">N40/$H$40*$K$40</f>
        <v>25.072463768115941</v>
      </c>
      <c r="O41" s="152"/>
      <c r="P41" s="153"/>
      <c r="Q41" s="153"/>
      <c r="R41" s="153"/>
      <c r="S41" s="154"/>
      <c r="T41" s="154"/>
      <c r="U41" s="92"/>
      <c r="V41" s="92"/>
      <c r="W41" s="92"/>
      <c r="X41" s="92"/>
    </row>
    <row r="42" spans="1:31" ht="18" customHeight="1" x14ac:dyDescent="0.2">
      <c r="M42" s="117" t="str">
        <f>IF(B41="","","Dsr mês:")</f>
        <v/>
      </c>
      <c r="N42" s="188" t="str">
        <f>IF(B41="","",N40/H41*K41)</f>
        <v/>
      </c>
      <c r="O42" s="206" t="str">
        <f>IF(B41="","","Dsr mês:")</f>
        <v/>
      </c>
      <c r="P42" s="206"/>
      <c r="Q42" s="151"/>
      <c r="R42" s="151"/>
      <c r="S42" s="92" t="str">
        <f>IF(B41="","",S40/$H$41*$K$41)</f>
        <v/>
      </c>
      <c r="T42" s="92" t="str">
        <f>IF(B41="","",T40/$H$41*$K$41)</f>
        <v/>
      </c>
    </row>
    <row r="43" spans="1:31" x14ac:dyDescent="0.2">
      <c r="S43" s="155"/>
    </row>
    <row r="44" spans="1:31" ht="18.75" x14ac:dyDescent="0.2">
      <c r="C44" s="70"/>
      <c r="D44" s="120"/>
      <c r="H44" s="1"/>
      <c r="I44" s="1"/>
      <c r="J44" s="1"/>
      <c r="K44" s="1"/>
      <c r="L44" s="1"/>
      <c r="M44" s="1"/>
      <c r="N44" s="1"/>
    </row>
    <row r="45" spans="1:31" x14ac:dyDescent="0.2">
      <c r="D45" s="135"/>
    </row>
    <row r="47" spans="1:31" x14ac:dyDescent="0.2">
      <c r="D47" s="136"/>
    </row>
    <row r="48" spans="1:31" x14ac:dyDescent="0.2">
      <c r="D48" s="136"/>
    </row>
    <row r="115" spans="4:24" x14ac:dyDescent="0.2">
      <c r="W115" s="70"/>
    </row>
    <row r="116" spans="4:24" x14ac:dyDescent="0.2">
      <c r="W116" s="73">
        <f>$B$8</f>
        <v>45231</v>
      </c>
      <c r="X116" s="69" t="s">
        <v>39</v>
      </c>
    </row>
    <row r="117" spans="4:24" x14ac:dyDescent="0.2">
      <c r="W117" s="183">
        <f>IF(DAY(B8)=1,EOMONTH(B8,0),DATE(YEAR(B8),MONTH(B8)+1,dia_f))</f>
        <v>45260</v>
      </c>
      <c r="X117" s="69" t="s">
        <v>40</v>
      </c>
    </row>
    <row r="119" spans="4:24" x14ac:dyDescent="0.2">
      <c r="D119" s="69" t="s">
        <v>41</v>
      </c>
      <c r="F119" s="69" t="s">
        <v>42</v>
      </c>
    </row>
    <row r="120" spans="4:24" x14ac:dyDescent="0.2">
      <c r="D120" s="116">
        <v>1</v>
      </c>
      <c r="F120" s="118">
        <v>2020</v>
      </c>
    </row>
    <row r="121" spans="4:24" x14ac:dyDescent="0.2">
      <c r="D121" s="119">
        <v>2</v>
      </c>
      <c r="F121" s="118">
        <v>2021</v>
      </c>
    </row>
    <row r="122" spans="4:24" x14ac:dyDescent="0.2">
      <c r="D122" s="119">
        <v>3</v>
      </c>
      <c r="F122" s="118">
        <v>2022</v>
      </c>
    </row>
    <row r="123" spans="4:24" x14ac:dyDescent="0.2">
      <c r="D123" s="120">
        <v>4</v>
      </c>
      <c r="F123" s="118">
        <v>2023</v>
      </c>
    </row>
    <row r="124" spans="4:24" x14ac:dyDescent="0.2">
      <c r="D124" s="120">
        <v>5</v>
      </c>
      <c r="F124" s="118">
        <v>2024</v>
      </c>
    </row>
    <row r="125" spans="4:24" x14ac:dyDescent="0.2">
      <c r="D125" s="120">
        <v>6</v>
      </c>
      <c r="F125" s="118">
        <v>2025</v>
      </c>
    </row>
    <row r="126" spans="4:24" x14ac:dyDescent="0.2">
      <c r="D126" s="120">
        <v>7</v>
      </c>
      <c r="F126" s="118">
        <v>2026</v>
      </c>
    </row>
    <row r="127" spans="4:24" x14ac:dyDescent="0.2">
      <c r="D127" s="120">
        <v>8</v>
      </c>
      <c r="F127" s="118">
        <v>2027</v>
      </c>
    </row>
    <row r="128" spans="4:24" x14ac:dyDescent="0.2">
      <c r="D128" s="120">
        <v>9</v>
      </c>
      <c r="F128" s="118">
        <v>2028</v>
      </c>
    </row>
    <row r="129" spans="4:6" x14ac:dyDescent="0.2">
      <c r="D129" s="120">
        <v>10</v>
      </c>
      <c r="F129" s="118">
        <v>2029</v>
      </c>
    </row>
    <row r="130" spans="4:6" x14ac:dyDescent="0.2">
      <c r="D130" s="120">
        <v>11</v>
      </c>
      <c r="F130" s="118">
        <v>2030</v>
      </c>
    </row>
    <row r="131" spans="4:6" x14ac:dyDescent="0.2">
      <c r="D131" s="120">
        <v>12</v>
      </c>
      <c r="F131" s="118">
        <v>2031</v>
      </c>
    </row>
    <row r="150" spans="2:4" x14ac:dyDescent="0.2">
      <c r="B150" s="69"/>
      <c r="C150" s="70"/>
      <c r="D150" s="70"/>
    </row>
    <row r="151" spans="2:4" x14ac:dyDescent="0.2">
      <c r="B151" s="69"/>
      <c r="C151" s="70"/>
      <c r="D151" s="70"/>
    </row>
  </sheetData>
  <mergeCells count="9">
    <mergeCell ref="O42:P42"/>
    <mergeCell ref="H2:H3"/>
    <mergeCell ref="S2:S4"/>
    <mergeCell ref="Z6:AE6"/>
    <mergeCell ref="B5:C5"/>
    <mergeCell ref="W6:X7"/>
    <mergeCell ref="B7:C7"/>
    <mergeCell ref="W17:X17"/>
    <mergeCell ref="W20:X20"/>
  </mergeCells>
  <conditionalFormatting sqref="B8:C38">
    <cfRule type="expression" dxfId="67" priority="20">
      <formula>WEEKDAY($B8,2)=7</formula>
    </cfRule>
    <cfRule type="expression" dxfId="66" priority="21">
      <formula>COUNTIF(fer,$B8)&gt;0</formula>
    </cfRule>
  </conditionalFormatting>
  <conditionalFormatting sqref="D8:D38">
    <cfRule type="cellIs" dxfId="65" priority="19" operator="equal">
      <formula>"F"</formula>
    </cfRule>
  </conditionalFormatting>
  <conditionalFormatting sqref="M42">
    <cfRule type="expression" dxfId="64" priority="18">
      <formula>$B$41&lt;&gt;""</formula>
    </cfRule>
  </conditionalFormatting>
  <conditionalFormatting sqref="N42">
    <cfRule type="expression" dxfId="63" priority="17">
      <formula>$B$41&lt;&gt;""</formula>
    </cfRule>
  </conditionalFormatting>
  <conditionalFormatting sqref="O42:R42">
    <cfRule type="expression" dxfId="62" priority="16">
      <formula>$B$41&lt;&gt;""</formula>
    </cfRule>
  </conditionalFormatting>
  <conditionalFormatting sqref="S42:T42">
    <cfRule type="expression" dxfId="61" priority="15">
      <formula>$B$41&lt;&gt;""</formula>
    </cfRule>
  </conditionalFormatting>
  <conditionalFormatting sqref="K8:T38">
    <cfRule type="expression" dxfId="60" priority="14">
      <formula>$D8="F"</formula>
    </cfRule>
  </conditionalFormatting>
  <conditionalFormatting sqref="Q8:Q38">
    <cfRule type="expression" dxfId="59" priority="13">
      <formula>Q8&gt;0</formula>
    </cfRule>
  </conditionalFormatting>
  <conditionalFormatting sqref="R7:R38">
    <cfRule type="expression" dxfId="58" priority="12">
      <formula>R7&gt;0</formula>
    </cfRule>
  </conditionalFormatting>
  <conditionalFormatting sqref="E10:J10 I8:J9 G24:J24 E31:J31 E36:J38 I32:J35 I11:J23 I25:J30">
    <cfRule type="expression" dxfId="57" priority="10">
      <formula>$D8="F"</formula>
    </cfRule>
  </conditionalFormatting>
  <conditionalFormatting sqref="E11:H15">
    <cfRule type="expression" dxfId="56" priority="9">
      <formula>$D11="F"</formula>
    </cfRule>
  </conditionalFormatting>
  <conditionalFormatting sqref="E8:H9">
    <cfRule type="expression" dxfId="55" priority="8">
      <formula>$D8="F"</formula>
    </cfRule>
  </conditionalFormatting>
  <conditionalFormatting sqref="E18:H21">
    <cfRule type="expression" dxfId="54" priority="7">
      <formula>$D18="F"</formula>
    </cfRule>
  </conditionalFormatting>
  <conditionalFormatting sqref="E25:H28">
    <cfRule type="expression" dxfId="53" priority="6">
      <formula>$D25="F"</formula>
    </cfRule>
  </conditionalFormatting>
  <conditionalFormatting sqref="E32:H35">
    <cfRule type="expression" dxfId="52" priority="5">
      <formula>$D32="F"</formula>
    </cfRule>
  </conditionalFormatting>
  <conditionalFormatting sqref="E16:H17">
    <cfRule type="expression" dxfId="51" priority="4">
      <formula>$D16="F"</formula>
    </cfRule>
  </conditionalFormatting>
  <conditionalFormatting sqref="E22:H23">
    <cfRule type="expression" dxfId="50" priority="3">
      <formula>$D22="F"</formula>
    </cfRule>
  </conditionalFormatting>
  <conditionalFormatting sqref="E29:H30">
    <cfRule type="expression" dxfId="49" priority="2">
      <formula>$D29="F"</formula>
    </cfRule>
  </conditionalFormatting>
  <conditionalFormatting sqref="E24:F24">
    <cfRule type="expression" dxfId="48" priority="1">
      <formula>$D24="F"</formula>
    </cfRule>
  </conditionalFormatting>
  <dataValidations count="1">
    <dataValidation type="custom" allowBlank="1" showInputMessage="1" showErrorMessage="1" sqref="E8:J38" xr:uid="{9DF8420F-35B2-4CF0-930F-F264305D1106}">
      <formula1>OR(E8=2400,TEXT(E8,"00\:00")=TEXT(Z8,"hh:mm"))</formula1>
    </dataValidation>
  </dataValidations>
  <pageMargins left="0.75" right="0.75" top="1" bottom="1" header="0.49212598499999999" footer="0.49212598499999999"/>
  <pageSetup paperSize="9" scale="83" orientation="landscape" r:id="rId1"/>
  <headerFooter alignWithMargins="0"/>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6" r:id="rId4" name="Botão 4">
              <controlPr defaultSize="0" print="0" autoFill="0" autoPict="0" macro="[0]!Limpar_Click">
                <anchor moveWithCells="1" sizeWithCells="1">
                  <from>
                    <xdr:col>22</xdr:col>
                    <xdr:colOff>133350</xdr:colOff>
                    <xdr:row>33</xdr:row>
                    <xdr:rowOff>28575</xdr:rowOff>
                  </from>
                  <to>
                    <xdr:col>23</xdr:col>
                    <xdr:colOff>495300</xdr:colOff>
                    <xdr:row>35</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4">
    <tabColor theme="6"/>
  </sheetPr>
  <dimension ref="A1:AF151"/>
  <sheetViews>
    <sheetView showGridLines="0" zoomScaleNormal="100" workbookViewId="0">
      <selection activeCell="F131" sqref="F131"/>
    </sheetView>
  </sheetViews>
  <sheetFormatPr defaultRowHeight="12.75" x14ac:dyDescent="0.2"/>
  <cols>
    <col min="1" max="1" width="2.7109375" customWidth="1"/>
    <col min="2" max="2" width="12.140625" customWidth="1"/>
    <col min="3" max="3" width="12.42578125" customWidth="1"/>
    <col min="4" max="4" width="6.85546875" customWidth="1"/>
    <col min="5" max="5" width="9.42578125" customWidth="1"/>
    <col min="6" max="7" width="9.42578125" bestFit="1" customWidth="1"/>
    <col min="8" max="8" width="10.140625" bestFit="1" customWidth="1"/>
    <col min="9" max="10" width="10.140625" customWidth="1"/>
    <col min="11" max="14" width="9.42578125" customWidth="1"/>
    <col min="15" max="17" width="11.28515625" customWidth="1"/>
    <col min="18" max="18" width="9.28515625" customWidth="1"/>
    <col min="19" max="19" width="11.28515625" customWidth="1"/>
    <col min="21" max="22" width="0.85546875" customWidth="1"/>
    <col min="23" max="23" width="24" customWidth="1"/>
    <col min="24" max="24" width="8.42578125" customWidth="1"/>
    <col min="25" max="25" width="6.7109375" customWidth="1"/>
    <col min="26" max="31" width="9.7109375" customWidth="1"/>
    <col min="32" max="32" width="26.85546875" customWidth="1"/>
  </cols>
  <sheetData>
    <row r="1" spans="1:32" ht="18" customHeight="1" x14ac:dyDescent="0.2">
      <c r="E1" s="182" t="str">
        <f>CHOOSE(MONTH(W117),"Janeiro","Fevereiro","Março","Abril","Maio","Junho","Julho","Agosto","Setembro","Outubro","Novembro","Dezembro")</f>
        <v>Dezembro</v>
      </c>
      <c r="F1" s="69"/>
      <c r="H1" s="177"/>
      <c r="I1" s="177"/>
      <c r="J1" s="177"/>
    </row>
    <row r="2" spans="1:32" ht="15" customHeight="1" x14ac:dyDescent="0.2">
      <c r="D2" s="110"/>
      <c r="E2" s="121"/>
      <c r="H2" s="203"/>
      <c r="I2" s="179"/>
      <c r="J2" s="179"/>
      <c r="L2" s="2"/>
      <c r="S2" s="217"/>
      <c r="Z2" s="137"/>
      <c r="AA2" s="84"/>
      <c r="AB2" s="84"/>
      <c r="AC2" s="84"/>
      <c r="AD2" s="84"/>
    </row>
    <row r="3" spans="1:32" ht="15" customHeight="1" x14ac:dyDescent="0.2">
      <c r="D3" s="110"/>
      <c r="E3" s="121"/>
      <c r="H3" s="204"/>
      <c r="I3" s="180"/>
      <c r="J3" s="180"/>
      <c r="L3" s="3"/>
      <c r="M3" s="72"/>
      <c r="S3" s="217"/>
      <c r="Z3" s="84"/>
      <c r="AA3" s="84"/>
      <c r="AB3" s="84"/>
      <c r="AC3" s="84"/>
      <c r="AD3" s="84"/>
    </row>
    <row r="4" spans="1:32" ht="15" customHeight="1" x14ac:dyDescent="0.2">
      <c r="S4" s="217"/>
      <c r="AA4" s="146"/>
      <c r="AB4" s="146"/>
      <c r="AC4" s="146"/>
      <c r="AD4" s="84"/>
    </row>
    <row r="5" spans="1:32" ht="24.95" customHeight="1" x14ac:dyDescent="0.2">
      <c r="B5" s="218" t="s">
        <v>80</v>
      </c>
      <c r="C5" s="219"/>
      <c r="D5" s="185" t="str">
        <f>Outubro!D5</f>
        <v>Alexandre José de Souza Silva</v>
      </c>
      <c r="E5" s="191"/>
      <c r="F5" s="192"/>
      <c r="G5" s="144"/>
      <c r="H5" s="145"/>
      <c r="I5" s="195" t="s">
        <v>85</v>
      </c>
      <c r="J5" s="143"/>
      <c r="K5" s="144"/>
      <c r="L5" s="144"/>
      <c r="M5" s="144"/>
      <c r="N5" s="145"/>
      <c r="O5" s="196" t="s">
        <v>86</v>
      </c>
      <c r="P5" s="143"/>
      <c r="Q5" s="144"/>
      <c r="R5" s="144"/>
      <c r="S5" s="144"/>
      <c r="T5" s="145"/>
      <c r="Z5" s="146"/>
      <c r="AA5" s="146"/>
      <c r="AB5" s="146"/>
      <c r="AC5" s="146"/>
    </row>
    <row r="6" spans="1:32" ht="25.5" customHeight="1" x14ac:dyDescent="0.2">
      <c r="B6" s="74" t="s">
        <v>1</v>
      </c>
      <c r="C6" s="74" t="s">
        <v>2</v>
      </c>
      <c r="D6" s="74" t="s">
        <v>3</v>
      </c>
      <c r="E6" s="74" t="s">
        <v>4</v>
      </c>
      <c r="F6" s="74" t="s">
        <v>5</v>
      </c>
      <c r="G6" s="74" t="s">
        <v>4</v>
      </c>
      <c r="H6" s="74" t="s">
        <v>5</v>
      </c>
      <c r="I6" s="74" t="s">
        <v>4</v>
      </c>
      <c r="J6" s="74" t="s">
        <v>5</v>
      </c>
      <c r="K6" s="74" t="s">
        <v>6</v>
      </c>
      <c r="L6" s="74" t="s">
        <v>7</v>
      </c>
      <c r="M6" s="74" t="s">
        <v>8</v>
      </c>
      <c r="N6" s="74" t="s">
        <v>84</v>
      </c>
      <c r="O6" s="74" t="s">
        <v>9</v>
      </c>
      <c r="P6" s="74" t="s">
        <v>10</v>
      </c>
      <c r="Q6" s="74" t="s">
        <v>71</v>
      </c>
      <c r="R6" s="74" t="s">
        <v>70</v>
      </c>
      <c r="S6" s="74" t="s">
        <v>11</v>
      </c>
      <c r="T6" s="74" t="s">
        <v>12</v>
      </c>
      <c r="W6" s="220" t="s">
        <v>13</v>
      </c>
      <c r="X6" s="221"/>
      <c r="Z6" s="200" t="s">
        <v>0</v>
      </c>
      <c r="AA6" s="201"/>
      <c r="AB6" s="201"/>
      <c r="AC6" s="201"/>
      <c r="AD6" s="201"/>
      <c r="AE6" s="202"/>
    </row>
    <row r="7" spans="1:32" ht="18" customHeight="1" x14ac:dyDescent="0.2">
      <c r="B7" s="211" t="s">
        <v>73</v>
      </c>
      <c r="C7" s="212"/>
      <c r="D7" s="143"/>
      <c r="E7" s="144"/>
      <c r="F7" s="144"/>
      <c r="G7" s="144"/>
      <c r="H7" s="144"/>
      <c r="I7" s="144"/>
      <c r="J7" s="144"/>
      <c r="K7" s="144"/>
      <c r="L7" s="144"/>
      <c r="M7" s="144"/>
      <c r="N7" s="144"/>
      <c r="O7" s="144"/>
      <c r="P7" s="144"/>
      <c r="Q7" s="145"/>
      <c r="R7" s="156">
        <f>IF(Novembro!W32="Horas Compensadas",Novembro!X32,0)</f>
        <v>0.9083333333333341</v>
      </c>
      <c r="S7" s="149">
        <f>IF(Novembro!W32="Horas Extras",Novembro!X32,0)</f>
        <v>0</v>
      </c>
      <c r="T7" s="149"/>
      <c r="U7" s="93"/>
      <c r="V7" s="147"/>
      <c r="W7" s="222"/>
      <c r="X7" s="223"/>
      <c r="Y7" s="129"/>
      <c r="Z7" s="74" t="s">
        <v>4</v>
      </c>
      <c r="AA7" s="74" t="s">
        <v>5</v>
      </c>
      <c r="AB7" s="74" t="s">
        <v>4</v>
      </c>
      <c r="AC7" s="74" t="s">
        <v>5</v>
      </c>
      <c r="AD7" s="74" t="s">
        <v>4</v>
      </c>
      <c r="AE7" s="74" t="s">
        <v>5</v>
      </c>
      <c r="AF7" s="71"/>
    </row>
    <row r="8" spans="1:32" ht="18" customHeight="1" x14ac:dyDescent="0.2">
      <c r="A8" s="34">
        <f>IF(B8="","",IF(C8&lt;&gt;"feriado",WEEKDAY(B8),8))</f>
        <v>6</v>
      </c>
      <c r="B8" s="36">
        <f>EDATE(inicio,2)</f>
        <v>45261</v>
      </c>
      <c r="C8" s="37">
        <f>IF(B8="","",IF(COUNTIF(fer,B8)&gt;0,"feriado",B8))</f>
        <v>45261</v>
      </c>
      <c r="D8" s="138"/>
      <c r="E8" s="139"/>
      <c r="F8" s="139"/>
      <c r="G8" s="139"/>
      <c r="H8" s="139"/>
      <c r="I8" s="139"/>
      <c r="J8" s="139"/>
      <c r="K8" s="140">
        <f>IF(B8="","",ROUND(O8-N8,5))</f>
        <v>0</v>
      </c>
      <c r="L8" s="140">
        <f t="shared" ref="L8:L38" si="0">IF(B8="","",IF(AND(E8="",F8=""),0,MAX(ININOT,MIN(FIMNOT+1,AA8+(Z8&gt;AA8)))-MAX(ININOT,Z8)+(MIN(FIMNOT,AA8+(Z8&gt;AA8))-MIN(FIMNOT,Z8)))+IF(AND(G8="",H8=""),0,MAX(ININOT,MIN(FIMNOT+1,AC8+(AB8&gt;AC8)))-MAX(ININOT,AB8)+(MIN(FIMNOT,AC8+(AB8&gt;AC8))-MIN(FIMNOT,AB8)))+IF(AND(I8="",J8=""),0,MAX(ININOT,MIN(FIMNOT+1,AE8+(AD8&gt;AE8)))-MAX(ININOT,AD8)+(MIN(FIMNOT,AE8+(AD8&gt;AE8))-MIN(FIMNOT,AD8))))</f>
        <v>0</v>
      </c>
      <c r="M8" s="141">
        <f>IF(B8="","",(L8/7*8)-L8)</f>
        <v>0</v>
      </c>
      <c r="N8" s="141">
        <f>IF(B8="","",L8+M8)</f>
        <v>0</v>
      </c>
      <c r="O8" s="142">
        <f>IF(B8="","",MOD((AA8-Z8)+(AC8-AB8)+(AE8-AD8),1)+M8)</f>
        <v>0</v>
      </c>
      <c r="P8" s="134">
        <f t="shared" ref="P8:P38" si="1">IF(B8="","",IF(D8="F",$X$16,VLOOKUP(A8,jornada,3)))</f>
        <v>0.30555555555555552</v>
      </c>
      <c r="Q8" s="134" t="str">
        <f>IF(B8="","",IF(AND(D8="A",P8&gt;O8),P8-O8,""))</f>
        <v/>
      </c>
      <c r="R8" s="134">
        <f>IF(B8="","",IF(AND(O8&gt;0,D8="F"),"",IF(D8="A","",IF(O8&lt;P8,P8-O8,""))))</f>
        <v>0.30555555555555552</v>
      </c>
      <c r="S8" s="142">
        <f>IF(B8="","",IF(AND(WEEKDAY(B8,1)=7,P8=0,D8&lt;&gt;"F"),MAX(0,O8-P8),IF(P8=0,0,MAX(0,O8-P8))))</f>
        <v>0</v>
      </c>
      <c r="T8" s="148">
        <f>IF(B8="","",IF(AND(WEEKDAY(B8,1)=7,P8=0,D8&lt;&gt;"F"),0,IF(P8=0,O8,0)))</f>
        <v>0</v>
      </c>
      <c r="U8" s="104"/>
      <c r="V8" s="108">
        <v>1</v>
      </c>
      <c r="W8" s="95" t="s">
        <v>15</v>
      </c>
      <c r="X8" s="99">
        <v>0.30555555555555552</v>
      </c>
      <c r="Z8" s="125">
        <f>IF(B8="","",IF($E8="",0,TIME(INT(E8/100),MOD(E8,100),0)))</f>
        <v>0</v>
      </c>
      <c r="AA8" s="125">
        <f>IF(B8="","",IF($F8="",0,TIME(INT(F8/100),MOD(F8,100),0)))</f>
        <v>0</v>
      </c>
      <c r="AB8" s="124">
        <f>IF(B8="","",IF($G8="",0,TIME(INT(G8/100),MOD(G8,100),0)))</f>
        <v>0</v>
      </c>
      <c r="AC8" s="124">
        <f>IF(B8="","",IF($H8="",0,TIME(INT(H8/100),MOD(H8,100),0)))</f>
        <v>0</v>
      </c>
      <c r="AD8" s="124">
        <f>IF(B8="","",IF($I8="",0,TIME(INT(I8/100),MOD(I8,100),0)))</f>
        <v>0</v>
      </c>
      <c r="AE8" s="181">
        <f>IF(B8="","",IF($J8="",0,TIME(INT(J8/100),MOD(J8,100),0)))</f>
        <v>0</v>
      </c>
      <c r="AF8" s="5"/>
    </row>
    <row r="9" spans="1:32" ht="18" customHeight="1" x14ac:dyDescent="0.2">
      <c r="A9" s="34">
        <f t="shared" ref="A9:A38" si="2">IF(B9="","",IF(C9&lt;&gt;"feriado",WEEKDAY(B9),8))</f>
        <v>7</v>
      </c>
      <c r="B9" s="38">
        <f>B8+1</f>
        <v>45262</v>
      </c>
      <c r="C9" s="39">
        <f t="shared" ref="C9:C38" si="3">IF(B9="","",IF(COUNTIF(fer,B9)&gt;0,"feriado",B9))</f>
        <v>45262</v>
      </c>
      <c r="D9" s="105"/>
      <c r="E9" s="122"/>
      <c r="F9" s="122"/>
      <c r="G9" s="122"/>
      <c r="H9" s="122"/>
      <c r="I9" s="122"/>
      <c r="J9" s="122"/>
      <c r="K9" s="68">
        <f t="shared" ref="K9:K38" si="4">IF(B9="","",ROUND(O9-N9,5))</f>
        <v>0</v>
      </c>
      <c r="L9" s="140">
        <f t="shared" si="0"/>
        <v>0</v>
      </c>
      <c r="M9" s="40">
        <f t="shared" ref="M9:M38" si="5">IF(B9="","",(L9/7*8)-L9)</f>
        <v>0</v>
      </c>
      <c r="N9" s="40">
        <f t="shared" ref="N9:N38" si="6">IF(B9="","",L9+M9)</f>
        <v>0</v>
      </c>
      <c r="O9" s="142">
        <f t="shared" ref="O9:O37" si="7">IF(B9="","",MOD((AA9-Z9)+(AC9-AB9)+(AE9-AD9),1)+M9)</f>
        <v>0</v>
      </c>
      <c r="P9" s="127">
        <f t="shared" si="1"/>
        <v>0.30555555555555552</v>
      </c>
      <c r="Q9" s="134" t="str">
        <f t="shared" ref="Q9:Q38" si="8">IF(B9="","",IF(AND(D9="A",P9&gt;O9),P9-O9,""))</f>
        <v/>
      </c>
      <c r="R9" s="127">
        <f t="shared" ref="R9:R38" si="9">IF(B9="","",IF(AND(O9&gt;0,D9="F"),"",IF(D9="A","",IF(O9&lt;P9,P9-O9,""))))</f>
        <v>0.30555555555555552</v>
      </c>
      <c r="S9" s="142">
        <f t="shared" ref="S9:S37" si="10">IF(B9="","",IF(AND(WEEKDAY(B9,1)=7,P9=0,D9&lt;&gt;"F"),MAX(0,O9-P9),IF(P9=0,0,MAX(0,O9-P9))))</f>
        <v>0</v>
      </c>
      <c r="T9" s="148">
        <f t="shared" ref="T9:T37" si="11">IF(B9="","",IF(AND(WEEKDAY(B9,1)=7,P9=0,D9&lt;&gt;"F"),0,IF(P9=0,O9,0)))</f>
        <v>0</v>
      </c>
      <c r="U9" s="90"/>
      <c r="V9" s="109">
        <v>2</v>
      </c>
      <c r="W9" s="102" t="s">
        <v>16</v>
      </c>
      <c r="X9" s="100">
        <v>0.30555555555555552</v>
      </c>
      <c r="Z9" s="124">
        <f t="shared" ref="Z9:Z38" si="12">IF(B9="","",IF($E9="",0,TIME(INT(E9/100),MOD(E9,100),0)))</f>
        <v>0</v>
      </c>
      <c r="AA9" s="125">
        <f t="shared" ref="AA9:AA38" si="13">IF(B9="","",IF($F9="",0,TIME(INT(F9/100),MOD(F9,100),0)))</f>
        <v>0</v>
      </c>
      <c r="AB9" s="124">
        <f t="shared" ref="AB9:AB38" si="14">IF(B9="","",IF($G9="",0,TIME(INT(G9/100),MOD(G9,100),0)))</f>
        <v>0</v>
      </c>
      <c r="AC9" s="124">
        <f t="shared" ref="AC9:AC38" si="15">IF(B9="","",IF($H9="",0,TIME(INT(H9/100),MOD(H9,100),0)))</f>
        <v>0</v>
      </c>
      <c r="AD9" s="124">
        <f t="shared" ref="AD9:AD38" si="16">IF(B9="","",IF($I9="",0,TIME(INT(I9/100),MOD(I9,100),0)))</f>
        <v>0</v>
      </c>
      <c r="AE9" s="181">
        <f t="shared" ref="AE9:AE38" si="17">IF(B9="","",IF($J9="",0,TIME(INT(J9/100),MOD(J9,100),0)))</f>
        <v>0</v>
      </c>
      <c r="AF9" s="5"/>
    </row>
    <row r="10" spans="1:32" ht="18" customHeight="1" x14ac:dyDescent="0.2">
      <c r="A10" s="34">
        <f t="shared" si="2"/>
        <v>1</v>
      </c>
      <c r="B10" s="38">
        <f>B9+1</f>
        <v>45263</v>
      </c>
      <c r="C10" s="39">
        <f t="shared" si="3"/>
        <v>45263</v>
      </c>
      <c r="D10" s="105"/>
      <c r="E10" s="122"/>
      <c r="F10" s="122"/>
      <c r="G10" s="122"/>
      <c r="H10" s="122"/>
      <c r="I10" s="122"/>
      <c r="J10" s="122"/>
      <c r="K10" s="68">
        <f t="shared" si="4"/>
        <v>0</v>
      </c>
      <c r="L10" s="140">
        <f t="shared" si="0"/>
        <v>0</v>
      </c>
      <c r="M10" s="40">
        <f t="shared" si="5"/>
        <v>0</v>
      </c>
      <c r="N10" s="40">
        <f t="shared" si="6"/>
        <v>0</v>
      </c>
      <c r="O10" s="142">
        <f t="shared" si="7"/>
        <v>0</v>
      </c>
      <c r="P10" s="127">
        <f t="shared" si="1"/>
        <v>0.30555555555555552</v>
      </c>
      <c r="Q10" s="134" t="str">
        <f t="shared" si="8"/>
        <v/>
      </c>
      <c r="R10" s="127">
        <f t="shared" si="9"/>
        <v>0.30555555555555552</v>
      </c>
      <c r="S10" s="142">
        <f t="shared" si="10"/>
        <v>0</v>
      </c>
      <c r="T10" s="148">
        <f t="shared" si="11"/>
        <v>0</v>
      </c>
      <c r="U10" s="90"/>
      <c r="V10" s="109">
        <v>3</v>
      </c>
      <c r="W10" s="96" t="s">
        <v>17</v>
      </c>
      <c r="X10" s="100">
        <v>0.30555555555555552</v>
      </c>
      <c r="Z10" s="124">
        <f t="shared" si="12"/>
        <v>0</v>
      </c>
      <c r="AA10" s="125">
        <f t="shared" si="13"/>
        <v>0</v>
      </c>
      <c r="AB10" s="124">
        <f t="shared" si="14"/>
        <v>0</v>
      </c>
      <c r="AC10" s="124">
        <f t="shared" si="15"/>
        <v>0</v>
      </c>
      <c r="AD10" s="124">
        <f t="shared" si="16"/>
        <v>0</v>
      </c>
      <c r="AE10" s="181">
        <f t="shared" si="17"/>
        <v>0</v>
      </c>
      <c r="AF10" s="5"/>
    </row>
    <row r="11" spans="1:32" ht="18" customHeight="1" x14ac:dyDescent="0.2">
      <c r="A11" s="34">
        <f t="shared" si="2"/>
        <v>2</v>
      </c>
      <c r="B11" s="38">
        <f>B10+1</f>
        <v>45264</v>
      </c>
      <c r="C11" s="39">
        <f t="shared" si="3"/>
        <v>45264</v>
      </c>
      <c r="D11" s="105"/>
      <c r="E11" s="122"/>
      <c r="F11" s="122"/>
      <c r="G11" s="122"/>
      <c r="H11" s="122"/>
      <c r="I11" s="122"/>
      <c r="J11" s="122"/>
      <c r="K11" s="68">
        <f t="shared" si="4"/>
        <v>0</v>
      </c>
      <c r="L11" s="140">
        <f t="shared" si="0"/>
        <v>0</v>
      </c>
      <c r="M11" s="40">
        <f t="shared" si="5"/>
        <v>0</v>
      </c>
      <c r="N11" s="40">
        <f t="shared" si="6"/>
        <v>0</v>
      </c>
      <c r="O11" s="142">
        <f t="shared" si="7"/>
        <v>0</v>
      </c>
      <c r="P11" s="127">
        <f t="shared" si="1"/>
        <v>0.30555555555555552</v>
      </c>
      <c r="Q11" s="134" t="str">
        <f t="shared" si="8"/>
        <v/>
      </c>
      <c r="R11" s="127">
        <f t="shared" si="9"/>
        <v>0.30555555555555552</v>
      </c>
      <c r="S11" s="142">
        <f t="shared" si="10"/>
        <v>0</v>
      </c>
      <c r="T11" s="148">
        <f t="shared" si="11"/>
        <v>0</v>
      </c>
      <c r="U11" s="90"/>
      <c r="V11" s="109">
        <v>4</v>
      </c>
      <c r="W11" s="96" t="s">
        <v>18</v>
      </c>
      <c r="X11" s="100">
        <v>0.30555555555555552</v>
      </c>
      <c r="Z11" s="124">
        <f t="shared" si="12"/>
        <v>0</v>
      </c>
      <c r="AA11" s="125">
        <f t="shared" si="13"/>
        <v>0</v>
      </c>
      <c r="AB11" s="124">
        <f t="shared" si="14"/>
        <v>0</v>
      </c>
      <c r="AC11" s="124">
        <f t="shared" si="15"/>
        <v>0</v>
      </c>
      <c r="AD11" s="124">
        <f t="shared" si="16"/>
        <v>0</v>
      </c>
      <c r="AE11" s="181">
        <f t="shared" si="17"/>
        <v>0</v>
      </c>
      <c r="AF11" s="5"/>
    </row>
    <row r="12" spans="1:32" ht="18" customHeight="1" x14ac:dyDescent="0.2">
      <c r="A12" s="34">
        <f t="shared" si="2"/>
        <v>3</v>
      </c>
      <c r="B12" s="38">
        <f>B11+1</f>
        <v>45265</v>
      </c>
      <c r="C12" s="39">
        <f t="shared" si="3"/>
        <v>45265</v>
      </c>
      <c r="D12" s="105"/>
      <c r="E12" s="122"/>
      <c r="F12" s="122"/>
      <c r="G12" s="122"/>
      <c r="H12" s="122"/>
      <c r="I12" s="122"/>
      <c r="J12" s="122"/>
      <c r="K12" s="68">
        <f t="shared" si="4"/>
        <v>0</v>
      </c>
      <c r="L12" s="140">
        <f t="shared" si="0"/>
        <v>0</v>
      </c>
      <c r="M12" s="40">
        <f t="shared" si="5"/>
        <v>0</v>
      </c>
      <c r="N12" s="40">
        <f t="shared" si="6"/>
        <v>0</v>
      </c>
      <c r="O12" s="142">
        <f t="shared" si="7"/>
        <v>0</v>
      </c>
      <c r="P12" s="127">
        <f t="shared" si="1"/>
        <v>0.30555555555555552</v>
      </c>
      <c r="Q12" s="134" t="str">
        <f t="shared" si="8"/>
        <v/>
      </c>
      <c r="R12" s="127">
        <f t="shared" si="9"/>
        <v>0.30555555555555552</v>
      </c>
      <c r="S12" s="142">
        <f t="shared" si="10"/>
        <v>0</v>
      </c>
      <c r="T12" s="148">
        <f t="shared" si="11"/>
        <v>0</v>
      </c>
      <c r="U12" s="90"/>
      <c r="V12" s="109">
        <v>5</v>
      </c>
      <c r="W12" s="96" t="s">
        <v>19</v>
      </c>
      <c r="X12" s="100">
        <v>0.30555555555555552</v>
      </c>
      <c r="Z12" s="124">
        <f t="shared" si="12"/>
        <v>0</v>
      </c>
      <c r="AA12" s="125">
        <f t="shared" si="13"/>
        <v>0</v>
      </c>
      <c r="AB12" s="124">
        <f t="shared" si="14"/>
        <v>0</v>
      </c>
      <c r="AC12" s="124">
        <f t="shared" si="15"/>
        <v>0</v>
      </c>
      <c r="AD12" s="124">
        <f t="shared" si="16"/>
        <v>0</v>
      </c>
      <c r="AE12" s="181">
        <f t="shared" si="17"/>
        <v>0</v>
      </c>
      <c r="AF12" s="5"/>
    </row>
    <row r="13" spans="1:32" ht="18" customHeight="1" x14ac:dyDescent="0.2">
      <c r="A13" s="34">
        <f t="shared" si="2"/>
        <v>4</v>
      </c>
      <c r="B13" s="38">
        <f t="shared" ref="B13:B35" si="18">B12+1</f>
        <v>45266</v>
      </c>
      <c r="C13" s="39">
        <f t="shared" si="3"/>
        <v>45266</v>
      </c>
      <c r="D13" s="105"/>
      <c r="E13" s="122"/>
      <c r="F13" s="122"/>
      <c r="G13" s="122"/>
      <c r="H13" s="122"/>
      <c r="I13" s="122"/>
      <c r="J13" s="122"/>
      <c r="K13" s="68">
        <f t="shared" si="4"/>
        <v>0</v>
      </c>
      <c r="L13" s="140">
        <f t="shared" si="0"/>
        <v>0</v>
      </c>
      <c r="M13" s="40">
        <f t="shared" si="5"/>
        <v>0</v>
      </c>
      <c r="N13" s="40">
        <f t="shared" si="6"/>
        <v>0</v>
      </c>
      <c r="O13" s="142">
        <f t="shared" si="7"/>
        <v>0</v>
      </c>
      <c r="P13" s="127">
        <f t="shared" si="1"/>
        <v>0.30555555555555552</v>
      </c>
      <c r="Q13" s="134" t="str">
        <f t="shared" si="8"/>
        <v/>
      </c>
      <c r="R13" s="127">
        <f t="shared" si="9"/>
        <v>0.30555555555555552</v>
      </c>
      <c r="S13" s="142">
        <f t="shared" si="10"/>
        <v>0</v>
      </c>
      <c r="T13" s="148">
        <f t="shared" si="11"/>
        <v>0</v>
      </c>
      <c r="U13" s="90"/>
      <c r="V13" s="109">
        <v>6</v>
      </c>
      <c r="W13" s="96" t="s">
        <v>20</v>
      </c>
      <c r="X13" s="100">
        <v>0.30555555555555552</v>
      </c>
      <c r="Z13" s="124">
        <f t="shared" si="12"/>
        <v>0</v>
      </c>
      <c r="AA13" s="125">
        <f t="shared" si="13"/>
        <v>0</v>
      </c>
      <c r="AB13" s="124">
        <f t="shared" si="14"/>
        <v>0</v>
      </c>
      <c r="AC13" s="124">
        <f t="shared" si="15"/>
        <v>0</v>
      </c>
      <c r="AD13" s="124">
        <f t="shared" si="16"/>
        <v>0</v>
      </c>
      <c r="AE13" s="181">
        <f t="shared" si="17"/>
        <v>0</v>
      </c>
      <c r="AF13" s="5"/>
    </row>
    <row r="14" spans="1:32" ht="18" customHeight="1" x14ac:dyDescent="0.2">
      <c r="A14" s="34">
        <f t="shared" si="2"/>
        <v>5</v>
      </c>
      <c r="B14" s="38">
        <f t="shared" si="18"/>
        <v>45267</v>
      </c>
      <c r="C14" s="39">
        <f t="shared" si="3"/>
        <v>45267</v>
      </c>
      <c r="D14" s="105"/>
      <c r="E14" s="122"/>
      <c r="F14" s="122"/>
      <c r="G14" s="122"/>
      <c r="H14" s="122"/>
      <c r="I14" s="122"/>
      <c r="J14" s="122"/>
      <c r="K14" s="68">
        <f t="shared" si="4"/>
        <v>0</v>
      </c>
      <c r="L14" s="140">
        <f t="shared" si="0"/>
        <v>0</v>
      </c>
      <c r="M14" s="40">
        <f t="shared" si="5"/>
        <v>0</v>
      </c>
      <c r="N14" s="40">
        <f t="shared" si="6"/>
        <v>0</v>
      </c>
      <c r="O14" s="142">
        <f t="shared" si="7"/>
        <v>0</v>
      </c>
      <c r="P14" s="127">
        <f t="shared" si="1"/>
        <v>0.30555555555555552</v>
      </c>
      <c r="Q14" s="134" t="str">
        <f t="shared" si="8"/>
        <v/>
      </c>
      <c r="R14" s="127">
        <f t="shared" si="9"/>
        <v>0.30555555555555552</v>
      </c>
      <c r="S14" s="142">
        <f t="shared" si="10"/>
        <v>0</v>
      </c>
      <c r="T14" s="148">
        <f t="shared" si="11"/>
        <v>0</v>
      </c>
      <c r="U14" s="90"/>
      <c r="V14" s="109">
        <v>7</v>
      </c>
      <c r="W14" s="103" t="s">
        <v>21</v>
      </c>
      <c r="X14" s="100">
        <v>0.30555555555555552</v>
      </c>
      <c r="Z14" s="124">
        <f t="shared" si="12"/>
        <v>0</v>
      </c>
      <c r="AA14" s="125">
        <f t="shared" si="13"/>
        <v>0</v>
      </c>
      <c r="AB14" s="124">
        <f t="shared" si="14"/>
        <v>0</v>
      </c>
      <c r="AC14" s="124">
        <f t="shared" si="15"/>
        <v>0</v>
      </c>
      <c r="AD14" s="124">
        <f t="shared" si="16"/>
        <v>0</v>
      </c>
      <c r="AE14" s="181">
        <f t="shared" si="17"/>
        <v>0</v>
      </c>
      <c r="AF14" s="5"/>
    </row>
    <row r="15" spans="1:32" ht="18" customHeight="1" x14ac:dyDescent="0.2">
      <c r="A15" s="34">
        <f t="shared" si="2"/>
        <v>6</v>
      </c>
      <c r="B15" s="38">
        <f t="shared" si="18"/>
        <v>45268</v>
      </c>
      <c r="C15" s="39">
        <f t="shared" si="3"/>
        <v>45268</v>
      </c>
      <c r="D15" s="105"/>
      <c r="E15" s="122"/>
      <c r="F15" s="122"/>
      <c r="G15" s="122"/>
      <c r="H15" s="122"/>
      <c r="I15" s="122"/>
      <c r="J15" s="122"/>
      <c r="K15" s="68">
        <f t="shared" si="4"/>
        <v>0</v>
      </c>
      <c r="L15" s="140">
        <f t="shared" si="0"/>
        <v>0</v>
      </c>
      <c r="M15" s="40">
        <f t="shared" si="5"/>
        <v>0</v>
      </c>
      <c r="N15" s="40">
        <f t="shared" si="6"/>
        <v>0</v>
      </c>
      <c r="O15" s="142">
        <f t="shared" si="7"/>
        <v>0</v>
      </c>
      <c r="P15" s="127">
        <f t="shared" si="1"/>
        <v>0.30555555555555552</v>
      </c>
      <c r="Q15" s="134" t="str">
        <f t="shared" si="8"/>
        <v/>
      </c>
      <c r="R15" s="127">
        <f t="shared" si="9"/>
        <v>0.30555555555555552</v>
      </c>
      <c r="S15" s="142">
        <f t="shared" si="10"/>
        <v>0</v>
      </c>
      <c r="T15" s="148">
        <f t="shared" si="11"/>
        <v>0</v>
      </c>
      <c r="U15" s="90"/>
      <c r="V15" s="109">
        <v>8</v>
      </c>
      <c r="W15" s="97" t="s">
        <v>22</v>
      </c>
      <c r="X15" s="101">
        <v>0.30555555555555552</v>
      </c>
      <c r="Z15" s="124">
        <f t="shared" si="12"/>
        <v>0</v>
      </c>
      <c r="AA15" s="125">
        <f t="shared" si="13"/>
        <v>0</v>
      </c>
      <c r="AB15" s="124">
        <f t="shared" si="14"/>
        <v>0</v>
      </c>
      <c r="AC15" s="124">
        <f t="shared" si="15"/>
        <v>0</v>
      </c>
      <c r="AD15" s="124">
        <f t="shared" si="16"/>
        <v>0</v>
      </c>
      <c r="AE15" s="181">
        <f t="shared" si="17"/>
        <v>0</v>
      </c>
      <c r="AF15" s="5"/>
    </row>
    <row r="16" spans="1:32" ht="18" customHeight="1" x14ac:dyDescent="0.2">
      <c r="A16" s="34">
        <f t="shared" si="2"/>
        <v>7</v>
      </c>
      <c r="B16" s="38">
        <f t="shared" si="18"/>
        <v>45269</v>
      </c>
      <c r="C16" s="39">
        <f t="shared" si="3"/>
        <v>45269</v>
      </c>
      <c r="D16" s="105"/>
      <c r="E16" s="122"/>
      <c r="F16" s="122"/>
      <c r="G16" s="122"/>
      <c r="H16" s="122"/>
      <c r="I16" s="122"/>
      <c r="J16" s="122"/>
      <c r="K16" s="68">
        <f t="shared" si="4"/>
        <v>0</v>
      </c>
      <c r="L16" s="140">
        <f t="shared" si="0"/>
        <v>0</v>
      </c>
      <c r="M16" s="40">
        <f t="shared" si="5"/>
        <v>0</v>
      </c>
      <c r="N16" s="40">
        <f t="shared" si="6"/>
        <v>0</v>
      </c>
      <c r="O16" s="142">
        <f t="shared" si="7"/>
        <v>0</v>
      </c>
      <c r="P16" s="127">
        <f t="shared" si="1"/>
        <v>0.30555555555555552</v>
      </c>
      <c r="Q16" s="134" t="str">
        <f t="shared" si="8"/>
        <v/>
      </c>
      <c r="R16" s="127">
        <f t="shared" si="9"/>
        <v>0.30555555555555552</v>
      </c>
      <c r="S16" s="142">
        <f t="shared" si="10"/>
        <v>0</v>
      </c>
      <c r="T16" s="148">
        <f t="shared" si="11"/>
        <v>0</v>
      </c>
      <c r="U16" s="90"/>
      <c r="V16" s="90"/>
      <c r="W16" s="98" t="s">
        <v>3</v>
      </c>
      <c r="X16" s="94">
        <v>0</v>
      </c>
      <c r="Z16" s="124">
        <f t="shared" si="12"/>
        <v>0</v>
      </c>
      <c r="AA16" s="125">
        <f t="shared" si="13"/>
        <v>0</v>
      </c>
      <c r="AB16" s="124">
        <f t="shared" si="14"/>
        <v>0</v>
      </c>
      <c r="AC16" s="124">
        <f t="shared" si="15"/>
        <v>0</v>
      </c>
      <c r="AD16" s="124">
        <f t="shared" si="16"/>
        <v>0</v>
      </c>
      <c r="AE16" s="181">
        <f t="shared" si="17"/>
        <v>0</v>
      </c>
      <c r="AF16" s="5"/>
    </row>
    <row r="17" spans="1:32" ht="18" customHeight="1" x14ac:dyDescent="0.2">
      <c r="A17" s="34">
        <f t="shared" si="2"/>
        <v>1</v>
      </c>
      <c r="B17" s="38">
        <f t="shared" si="18"/>
        <v>45270</v>
      </c>
      <c r="C17" s="39">
        <f t="shared" si="3"/>
        <v>45270</v>
      </c>
      <c r="D17" s="105"/>
      <c r="E17" s="122"/>
      <c r="F17" s="122"/>
      <c r="G17" s="122"/>
      <c r="H17" s="122"/>
      <c r="I17" s="122"/>
      <c r="J17" s="122"/>
      <c r="K17" s="68">
        <f t="shared" si="4"/>
        <v>0</v>
      </c>
      <c r="L17" s="140">
        <f t="shared" si="0"/>
        <v>0</v>
      </c>
      <c r="M17" s="40">
        <f t="shared" si="5"/>
        <v>0</v>
      </c>
      <c r="N17" s="40">
        <f t="shared" si="6"/>
        <v>0</v>
      </c>
      <c r="O17" s="142">
        <f t="shared" si="7"/>
        <v>0</v>
      </c>
      <c r="P17" s="127">
        <f t="shared" si="1"/>
        <v>0.30555555555555552</v>
      </c>
      <c r="Q17" s="134" t="str">
        <f t="shared" si="8"/>
        <v/>
      </c>
      <c r="R17" s="127">
        <f t="shared" si="9"/>
        <v>0.30555555555555552</v>
      </c>
      <c r="S17" s="142">
        <f t="shared" si="10"/>
        <v>0</v>
      </c>
      <c r="T17" s="148">
        <f t="shared" si="11"/>
        <v>0</v>
      </c>
      <c r="U17" s="90"/>
      <c r="V17" s="90"/>
      <c r="W17" s="209" t="s">
        <v>23</v>
      </c>
      <c r="X17" s="210"/>
      <c r="Z17" s="124">
        <f t="shared" si="12"/>
        <v>0</v>
      </c>
      <c r="AA17" s="125">
        <f t="shared" si="13"/>
        <v>0</v>
      </c>
      <c r="AB17" s="124">
        <f t="shared" si="14"/>
        <v>0</v>
      </c>
      <c r="AC17" s="124">
        <f t="shared" si="15"/>
        <v>0</v>
      </c>
      <c r="AD17" s="124">
        <f t="shared" si="16"/>
        <v>0</v>
      </c>
      <c r="AE17" s="181">
        <f t="shared" si="17"/>
        <v>0</v>
      </c>
      <c r="AF17" s="5"/>
    </row>
    <row r="18" spans="1:32" ht="18" customHeight="1" x14ac:dyDescent="0.2">
      <c r="A18" s="34">
        <f t="shared" si="2"/>
        <v>2</v>
      </c>
      <c r="B18" s="38">
        <f t="shared" si="18"/>
        <v>45271</v>
      </c>
      <c r="C18" s="39">
        <f t="shared" si="3"/>
        <v>45271</v>
      </c>
      <c r="D18" s="105"/>
      <c r="E18" s="122"/>
      <c r="F18" s="122"/>
      <c r="G18" s="122"/>
      <c r="H18" s="122"/>
      <c r="I18" s="122"/>
      <c r="J18" s="122"/>
      <c r="K18" s="68">
        <f t="shared" si="4"/>
        <v>0</v>
      </c>
      <c r="L18" s="140">
        <f t="shared" si="0"/>
        <v>0</v>
      </c>
      <c r="M18" s="40">
        <f t="shared" si="5"/>
        <v>0</v>
      </c>
      <c r="N18" s="40">
        <f t="shared" si="6"/>
        <v>0</v>
      </c>
      <c r="O18" s="142">
        <f t="shared" si="7"/>
        <v>0</v>
      </c>
      <c r="P18" s="127">
        <f t="shared" si="1"/>
        <v>0.30555555555555552</v>
      </c>
      <c r="Q18" s="134" t="str">
        <f t="shared" si="8"/>
        <v/>
      </c>
      <c r="R18" s="127">
        <f t="shared" si="9"/>
        <v>0.30555555555555552</v>
      </c>
      <c r="S18" s="142">
        <f t="shared" si="10"/>
        <v>0</v>
      </c>
      <c r="T18" s="148">
        <f t="shared" si="11"/>
        <v>0</v>
      </c>
      <c r="U18" s="90"/>
      <c r="V18" s="90"/>
      <c r="W18" s="111" t="s">
        <v>24</v>
      </c>
      <c r="X18" s="99">
        <f>ININOT</f>
        <v>0.91666666666666663</v>
      </c>
      <c r="Z18" s="124">
        <f t="shared" si="12"/>
        <v>0</v>
      </c>
      <c r="AA18" s="125">
        <f t="shared" si="13"/>
        <v>0</v>
      </c>
      <c r="AB18" s="124">
        <f t="shared" si="14"/>
        <v>0</v>
      </c>
      <c r="AC18" s="124">
        <f t="shared" si="15"/>
        <v>0</v>
      </c>
      <c r="AD18" s="124">
        <f t="shared" si="16"/>
        <v>0</v>
      </c>
      <c r="AE18" s="181">
        <f t="shared" si="17"/>
        <v>0</v>
      </c>
      <c r="AF18" s="5"/>
    </row>
    <row r="19" spans="1:32" ht="18" customHeight="1" x14ac:dyDescent="0.2">
      <c r="A19" s="34">
        <f t="shared" si="2"/>
        <v>3</v>
      </c>
      <c r="B19" s="38">
        <f t="shared" si="18"/>
        <v>45272</v>
      </c>
      <c r="C19" s="39">
        <f t="shared" si="3"/>
        <v>45272</v>
      </c>
      <c r="D19" s="105"/>
      <c r="E19" s="122"/>
      <c r="F19" s="122"/>
      <c r="G19" s="122"/>
      <c r="H19" s="122"/>
      <c r="I19" s="122"/>
      <c r="J19" s="122"/>
      <c r="K19" s="68">
        <f t="shared" si="4"/>
        <v>0</v>
      </c>
      <c r="L19" s="140">
        <f t="shared" si="0"/>
        <v>0</v>
      </c>
      <c r="M19" s="40">
        <f t="shared" si="5"/>
        <v>0</v>
      </c>
      <c r="N19" s="40">
        <f t="shared" si="6"/>
        <v>0</v>
      </c>
      <c r="O19" s="142">
        <f t="shared" si="7"/>
        <v>0</v>
      </c>
      <c r="P19" s="127">
        <f t="shared" si="1"/>
        <v>0.30555555555555552</v>
      </c>
      <c r="Q19" s="134" t="str">
        <f t="shared" si="8"/>
        <v/>
      </c>
      <c r="R19" s="127">
        <f t="shared" si="9"/>
        <v>0.30555555555555552</v>
      </c>
      <c r="S19" s="142">
        <f t="shared" si="10"/>
        <v>0</v>
      </c>
      <c r="T19" s="148">
        <f t="shared" si="11"/>
        <v>0</v>
      </c>
      <c r="U19" s="90"/>
      <c r="V19" s="90"/>
      <c r="W19" s="112" t="s">
        <v>25</v>
      </c>
      <c r="X19" s="101">
        <f>FIMNOT</f>
        <v>0.20833333333333334</v>
      </c>
      <c r="Z19" s="124">
        <f t="shared" si="12"/>
        <v>0</v>
      </c>
      <c r="AA19" s="125">
        <f t="shared" si="13"/>
        <v>0</v>
      </c>
      <c r="AB19" s="124">
        <f t="shared" si="14"/>
        <v>0</v>
      </c>
      <c r="AC19" s="124">
        <f t="shared" si="15"/>
        <v>0</v>
      </c>
      <c r="AD19" s="124">
        <f t="shared" si="16"/>
        <v>0</v>
      </c>
      <c r="AE19" s="181">
        <f t="shared" si="17"/>
        <v>0</v>
      </c>
      <c r="AF19" s="7"/>
    </row>
    <row r="20" spans="1:32" ht="18" customHeight="1" x14ac:dyDescent="0.2">
      <c r="A20" s="34">
        <f t="shared" si="2"/>
        <v>4</v>
      </c>
      <c r="B20" s="38">
        <f t="shared" si="18"/>
        <v>45273</v>
      </c>
      <c r="C20" s="39">
        <f t="shared" si="3"/>
        <v>45273</v>
      </c>
      <c r="D20" s="105"/>
      <c r="E20" s="122"/>
      <c r="F20" s="122"/>
      <c r="G20" s="122"/>
      <c r="H20" s="122"/>
      <c r="I20" s="122"/>
      <c r="J20" s="122"/>
      <c r="K20" s="68">
        <f t="shared" si="4"/>
        <v>0</v>
      </c>
      <c r="L20" s="140">
        <f t="shared" si="0"/>
        <v>0</v>
      </c>
      <c r="M20" s="40">
        <f t="shared" si="5"/>
        <v>0</v>
      </c>
      <c r="N20" s="40">
        <f t="shared" si="6"/>
        <v>0</v>
      </c>
      <c r="O20" s="142">
        <f t="shared" si="7"/>
        <v>0</v>
      </c>
      <c r="P20" s="127">
        <f t="shared" si="1"/>
        <v>0.30555555555555552</v>
      </c>
      <c r="Q20" s="134" t="str">
        <f t="shared" si="8"/>
        <v/>
      </c>
      <c r="R20" s="127">
        <f t="shared" si="9"/>
        <v>0.30555555555555552</v>
      </c>
      <c r="S20" s="142">
        <f t="shared" si="10"/>
        <v>0</v>
      </c>
      <c r="T20" s="148">
        <f t="shared" si="11"/>
        <v>0</v>
      </c>
      <c r="U20" s="90"/>
      <c r="V20" s="90"/>
      <c r="W20" s="209" t="s">
        <v>26</v>
      </c>
      <c r="X20" s="210"/>
      <c r="Z20" s="124">
        <f t="shared" si="12"/>
        <v>0</v>
      </c>
      <c r="AA20" s="125">
        <f t="shared" si="13"/>
        <v>0</v>
      </c>
      <c r="AB20" s="124">
        <f t="shared" si="14"/>
        <v>0</v>
      </c>
      <c r="AC20" s="124">
        <f t="shared" si="15"/>
        <v>0</v>
      </c>
      <c r="AD20" s="124">
        <f t="shared" si="16"/>
        <v>0</v>
      </c>
      <c r="AE20" s="181">
        <f t="shared" si="17"/>
        <v>0</v>
      </c>
      <c r="AF20" s="5"/>
    </row>
    <row r="21" spans="1:32" ht="18" customHeight="1" x14ac:dyDescent="0.2">
      <c r="A21" s="34">
        <f t="shared" si="2"/>
        <v>5</v>
      </c>
      <c r="B21" s="38">
        <f t="shared" si="18"/>
        <v>45274</v>
      </c>
      <c r="C21" s="39">
        <f t="shared" si="3"/>
        <v>45274</v>
      </c>
      <c r="D21" s="105"/>
      <c r="E21" s="122"/>
      <c r="F21" s="122"/>
      <c r="G21" s="122"/>
      <c r="H21" s="122"/>
      <c r="I21" s="122"/>
      <c r="J21" s="122"/>
      <c r="K21" s="68">
        <f t="shared" si="4"/>
        <v>0</v>
      </c>
      <c r="L21" s="140">
        <f t="shared" si="0"/>
        <v>0</v>
      </c>
      <c r="M21" s="40">
        <f t="shared" si="5"/>
        <v>0</v>
      </c>
      <c r="N21" s="40">
        <f t="shared" si="6"/>
        <v>0</v>
      </c>
      <c r="O21" s="142">
        <f t="shared" si="7"/>
        <v>0</v>
      </c>
      <c r="P21" s="127">
        <f t="shared" si="1"/>
        <v>0.30555555555555552</v>
      </c>
      <c r="Q21" s="134" t="str">
        <f t="shared" si="8"/>
        <v/>
      </c>
      <c r="R21" s="127">
        <f t="shared" si="9"/>
        <v>0.30555555555555552</v>
      </c>
      <c r="S21" s="142">
        <f t="shared" si="10"/>
        <v>0</v>
      </c>
      <c r="T21" s="148">
        <f t="shared" si="11"/>
        <v>0</v>
      </c>
      <c r="U21" s="90"/>
      <c r="V21" s="90"/>
      <c r="W21" s="113" t="s">
        <v>27</v>
      </c>
      <c r="X21" s="184" t="str">
        <f>IF(dia_f="","",dia_f)</f>
        <v/>
      </c>
      <c r="Z21" s="124">
        <f t="shared" si="12"/>
        <v>0</v>
      </c>
      <c r="AA21" s="125">
        <f t="shared" si="13"/>
        <v>0</v>
      </c>
      <c r="AB21" s="124">
        <f t="shared" si="14"/>
        <v>0</v>
      </c>
      <c r="AC21" s="124">
        <f t="shared" si="15"/>
        <v>0</v>
      </c>
      <c r="AD21" s="124">
        <f t="shared" si="16"/>
        <v>0</v>
      </c>
      <c r="AE21" s="181">
        <f t="shared" si="17"/>
        <v>0</v>
      </c>
    </row>
    <row r="22" spans="1:32" ht="18" customHeight="1" x14ac:dyDescent="0.25">
      <c r="A22" s="34">
        <f t="shared" si="2"/>
        <v>6</v>
      </c>
      <c r="B22" s="38">
        <f t="shared" si="18"/>
        <v>45275</v>
      </c>
      <c r="C22" s="39">
        <f t="shared" si="3"/>
        <v>45275</v>
      </c>
      <c r="D22" s="105"/>
      <c r="E22" s="122"/>
      <c r="F22" s="122"/>
      <c r="G22" s="122"/>
      <c r="H22" s="122"/>
      <c r="I22" s="122"/>
      <c r="J22" s="122"/>
      <c r="K22" s="68">
        <f t="shared" si="4"/>
        <v>0</v>
      </c>
      <c r="L22" s="140">
        <f t="shared" si="0"/>
        <v>0</v>
      </c>
      <c r="M22" s="40">
        <f t="shared" si="5"/>
        <v>0</v>
      </c>
      <c r="N22" s="40">
        <f t="shared" si="6"/>
        <v>0</v>
      </c>
      <c r="O22" s="142">
        <f t="shared" si="7"/>
        <v>0</v>
      </c>
      <c r="P22" s="127">
        <f t="shared" si="1"/>
        <v>0.30555555555555552</v>
      </c>
      <c r="Q22" s="134" t="str">
        <f t="shared" si="8"/>
        <v/>
      </c>
      <c r="R22" s="127">
        <f t="shared" si="9"/>
        <v>0.30555555555555552</v>
      </c>
      <c r="S22" s="142">
        <f t="shared" si="10"/>
        <v>0</v>
      </c>
      <c r="T22" s="148">
        <f t="shared" si="11"/>
        <v>0</v>
      </c>
      <c r="U22" s="90"/>
      <c r="V22" s="90"/>
      <c r="W22" s="173"/>
      <c r="X22" s="174"/>
      <c r="Z22" s="124">
        <f t="shared" si="12"/>
        <v>0</v>
      </c>
      <c r="AA22" s="125">
        <f t="shared" si="13"/>
        <v>0</v>
      </c>
      <c r="AB22" s="124">
        <f t="shared" si="14"/>
        <v>0</v>
      </c>
      <c r="AC22" s="124">
        <f t="shared" si="15"/>
        <v>0</v>
      </c>
      <c r="AD22" s="124">
        <f t="shared" si="16"/>
        <v>0</v>
      </c>
      <c r="AE22" s="181">
        <f t="shared" si="17"/>
        <v>0</v>
      </c>
    </row>
    <row r="23" spans="1:32" ht="18" customHeight="1" x14ac:dyDescent="0.25">
      <c r="A23" s="34">
        <f t="shared" si="2"/>
        <v>7</v>
      </c>
      <c r="B23" s="38">
        <f t="shared" si="18"/>
        <v>45276</v>
      </c>
      <c r="C23" s="39">
        <f t="shared" si="3"/>
        <v>45276</v>
      </c>
      <c r="D23" s="105"/>
      <c r="E23" s="122"/>
      <c r="F23" s="122"/>
      <c r="G23" s="122"/>
      <c r="H23" s="122"/>
      <c r="I23" s="122"/>
      <c r="J23" s="122"/>
      <c r="K23" s="68">
        <f t="shared" si="4"/>
        <v>0</v>
      </c>
      <c r="L23" s="140">
        <f t="shared" si="0"/>
        <v>0</v>
      </c>
      <c r="M23" s="40">
        <f t="shared" si="5"/>
        <v>0</v>
      </c>
      <c r="N23" s="40">
        <f t="shared" si="6"/>
        <v>0</v>
      </c>
      <c r="O23" s="142">
        <f t="shared" si="7"/>
        <v>0</v>
      </c>
      <c r="P23" s="127">
        <f t="shared" si="1"/>
        <v>0.30555555555555552</v>
      </c>
      <c r="Q23" s="134" t="str">
        <f t="shared" si="8"/>
        <v/>
      </c>
      <c r="R23" s="127">
        <f t="shared" si="9"/>
        <v>0.30555555555555552</v>
      </c>
      <c r="S23" s="142">
        <f t="shared" si="10"/>
        <v>0</v>
      </c>
      <c r="T23" s="148">
        <f t="shared" si="11"/>
        <v>0</v>
      </c>
      <c r="U23" s="90"/>
      <c r="V23" s="90"/>
      <c r="W23" s="175"/>
      <c r="X23" s="176"/>
      <c r="Z23" s="124">
        <f t="shared" si="12"/>
        <v>0</v>
      </c>
      <c r="AA23" s="125">
        <f t="shared" si="13"/>
        <v>0</v>
      </c>
      <c r="AB23" s="124">
        <f t="shared" si="14"/>
        <v>0</v>
      </c>
      <c r="AC23" s="124">
        <f t="shared" si="15"/>
        <v>0</v>
      </c>
      <c r="AD23" s="124">
        <f t="shared" si="16"/>
        <v>0</v>
      </c>
      <c r="AE23" s="181">
        <f t="shared" si="17"/>
        <v>0</v>
      </c>
      <c r="AF23" s="4"/>
    </row>
    <row r="24" spans="1:32" ht="18" customHeight="1" x14ac:dyDescent="0.2">
      <c r="A24" s="34">
        <f t="shared" si="2"/>
        <v>1</v>
      </c>
      <c r="B24" s="38">
        <f t="shared" si="18"/>
        <v>45277</v>
      </c>
      <c r="C24" s="39">
        <f t="shared" si="3"/>
        <v>45277</v>
      </c>
      <c r="D24" s="105"/>
      <c r="E24" s="122"/>
      <c r="F24" s="122"/>
      <c r="G24" s="122"/>
      <c r="H24" s="122"/>
      <c r="I24" s="122"/>
      <c r="J24" s="122"/>
      <c r="K24" s="68">
        <f t="shared" si="4"/>
        <v>0</v>
      </c>
      <c r="L24" s="140">
        <f t="shared" si="0"/>
        <v>0</v>
      </c>
      <c r="M24" s="40">
        <f t="shared" si="5"/>
        <v>0</v>
      </c>
      <c r="N24" s="40">
        <f t="shared" si="6"/>
        <v>0</v>
      </c>
      <c r="O24" s="142">
        <f t="shared" si="7"/>
        <v>0</v>
      </c>
      <c r="P24" s="127">
        <f t="shared" si="1"/>
        <v>0.30555555555555552</v>
      </c>
      <c r="Q24" s="134" t="str">
        <f t="shared" si="8"/>
        <v/>
      </c>
      <c r="R24" s="127">
        <f t="shared" si="9"/>
        <v>0.30555555555555552</v>
      </c>
      <c r="S24" s="142">
        <f t="shared" si="10"/>
        <v>0</v>
      </c>
      <c r="T24" s="148">
        <f t="shared" si="11"/>
        <v>0</v>
      </c>
      <c r="U24" s="90"/>
      <c r="V24" s="90"/>
      <c r="W24" s="150"/>
      <c r="X24" s="90"/>
      <c r="Z24" s="124">
        <f t="shared" si="12"/>
        <v>0</v>
      </c>
      <c r="AA24" s="125">
        <f t="shared" si="13"/>
        <v>0</v>
      </c>
      <c r="AB24" s="124">
        <f t="shared" si="14"/>
        <v>0</v>
      </c>
      <c r="AC24" s="124">
        <f t="shared" si="15"/>
        <v>0</v>
      </c>
      <c r="AD24" s="124">
        <f t="shared" si="16"/>
        <v>0</v>
      </c>
      <c r="AE24" s="181">
        <f t="shared" si="17"/>
        <v>0</v>
      </c>
    </row>
    <row r="25" spans="1:32" ht="18" customHeight="1" x14ac:dyDescent="0.2">
      <c r="A25" s="34">
        <f t="shared" si="2"/>
        <v>2</v>
      </c>
      <c r="B25" s="38">
        <f t="shared" si="18"/>
        <v>45278</v>
      </c>
      <c r="C25" s="39">
        <f t="shared" si="3"/>
        <v>45278</v>
      </c>
      <c r="D25" s="105"/>
      <c r="E25" s="122"/>
      <c r="F25" s="122"/>
      <c r="G25" s="122"/>
      <c r="H25" s="122"/>
      <c r="I25" s="122"/>
      <c r="J25" s="122"/>
      <c r="K25" s="68">
        <f t="shared" si="4"/>
        <v>0</v>
      </c>
      <c r="L25" s="140">
        <f t="shared" si="0"/>
        <v>0</v>
      </c>
      <c r="M25" s="40">
        <f t="shared" si="5"/>
        <v>0</v>
      </c>
      <c r="N25" s="40">
        <f t="shared" si="6"/>
        <v>0</v>
      </c>
      <c r="O25" s="142">
        <f t="shared" si="7"/>
        <v>0</v>
      </c>
      <c r="P25" s="127">
        <f t="shared" si="1"/>
        <v>0.30555555555555552</v>
      </c>
      <c r="Q25" s="134" t="str">
        <f t="shared" si="8"/>
        <v/>
      </c>
      <c r="R25" s="127">
        <f t="shared" si="9"/>
        <v>0.30555555555555552</v>
      </c>
      <c r="S25" s="142">
        <f t="shared" si="10"/>
        <v>0</v>
      </c>
      <c r="T25" s="148">
        <f t="shared" si="11"/>
        <v>0</v>
      </c>
      <c r="U25" s="90"/>
      <c r="V25" s="90"/>
      <c r="W25" s="169" t="s">
        <v>79</v>
      </c>
      <c r="X25" s="98">
        <f>N39</f>
        <v>0</v>
      </c>
      <c r="Z25" s="124">
        <f t="shared" si="12"/>
        <v>0</v>
      </c>
      <c r="AA25" s="125">
        <f t="shared" si="13"/>
        <v>0</v>
      </c>
      <c r="AB25" s="124">
        <f t="shared" si="14"/>
        <v>0</v>
      </c>
      <c r="AC25" s="124">
        <f t="shared" si="15"/>
        <v>0</v>
      </c>
      <c r="AD25" s="124">
        <f t="shared" si="16"/>
        <v>0</v>
      </c>
      <c r="AE25" s="181">
        <f t="shared" si="17"/>
        <v>0</v>
      </c>
    </row>
    <row r="26" spans="1:32" ht="18" customHeight="1" x14ac:dyDescent="0.2">
      <c r="A26" s="34">
        <f t="shared" si="2"/>
        <v>3</v>
      </c>
      <c r="B26" s="38">
        <f t="shared" si="18"/>
        <v>45279</v>
      </c>
      <c r="C26" s="39">
        <f t="shared" si="3"/>
        <v>45279</v>
      </c>
      <c r="D26" s="105"/>
      <c r="E26" s="122"/>
      <c r="F26" s="122"/>
      <c r="G26" s="122"/>
      <c r="H26" s="122"/>
      <c r="I26" s="122"/>
      <c r="J26" s="122"/>
      <c r="K26" s="68">
        <f t="shared" si="4"/>
        <v>0</v>
      </c>
      <c r="L26" s="140">
        <f t="shared" si="0"/>
        <v>0</v>
      </c>
      <c r="M26" s="40">
        <f t="shared" si="5"/>
        <v>0</v>
      </c>
      <c r="N26" s="40">
        <f t="shared" si="6"/>
        <v>0</v>
      </c>
      <c r="O26" s="142">
        <f t="shared" si="7"/>
        <v>0</v>
      </c>
      <c r="P26" s="127">
        <f t="shared" si="1"/>
        <v>0.30555555555555552</v>
      </c>
      <c r="Q26" s="134" t="str">
        <f t="shared" si="8"/>
        <v/>
      </c>
      <c r="R26" s="127">
        <f t="shared" si="9"/>
        <v>0.30555555555555552</v>
      </c>
      <c r="S26" s="142">
        <f t="shared" si="10"/>
        <v>0</v>
      </c>
      <c r="T26" s="148">
        <f t="shared" si="11"/>
        <v>0</v>
      </c>
      <c r="U26" s="90"/>
      <c r="V26" s="90"/>
      <c r="W26" s="170" t="s">
        <v>74</v>
      </c>
      <c r="X26" s="171">
        <f>O39</f>
        <v>0</v>
      </c>
      <c r="Z26" s="124">
        <f t="shared" si="12"/>
        <v>0</v>
      </c>
      <c r="AA26" s="125">
        <f t="shared" si="13"/>
        <v>0</v>
      </c>
      <c r="AB26" s="124">
        <f t="shared" si="14"/>
        <v>0</v>
      </c>
      <c r="AC26" s="124">
        <f t="shared" si="15"/>
        <v>0</v>
      </c>
      <c r="AD26" s="124">
        <f t="shared" si="16"/>
        <v>0</v>
      </c>
      <c r="AE26" s="181">
        <f t="shared" si="17"/>
        <v>0</v>
      </c>
    </row>
    <row r="27" spans="1:32" ht="18" customHeight="1" x14ac:dyDescent="0.2">
      <c r="A27" s="34">
        <f t="shared" si="2"/>
        <v>4</v>
      </c>
      <c r="B27" s="38">
        <f t="shared" si="18"/>
        <v>45280</v>
      </c>
      <c r="C27" s="39">
        <f t="shared" si="3"/>
        <v>45280</v>
      </c>
      <c r="D27" s="105"/>
      <c r="E27" s="122"/>
      <c r="F27" s="122"/>
      <c r="G27" s="122"/>
      <c r="H27" s="122"/>
      <c r="I27" s="122"/>
      <c r="J27" s="122"/>
      <c r="K27" s="68">
        <f t="shared" si="4"/>
        <v>0</v>
      </c>
      <c r="L27" s="140">
        <f t="shared" si="0"/>
        <v>0</v>
      </c>
      <c r="M27" s="40">
        <f t="shared" si="5"/>
        <v>0</v>
      </c>
      <c r="N27" s="40">
        <f t="shared" si="6"/>
        <v>0</v>
      </c>
      <c r="O27" s="142">
        <f t="shared" si="7"/>
        <v>0</v>
      </c>
      <c r="P27" s="127">
        <f t="shared" si="1"/>
        <v>0.30555555555555552</v>
      </c>
      <c r="Q27" s="134" t="str">
        <f t="shared" si="8"/>
        <v/>
      </c>
      <c r="R27" s="127">
        <f t="shared" si="9"/>
        <v>0.30555555555555552</v>
      </c>
      <c r="S27" s="142">
        <f t="shared" si="10"/>
        <v>0</v>
      </c>
      <c r="T27" s="148">
        <f t="shared" si="11"/>
        <v>0</v>
      </c>
      <c r="U27" s="90"/>
      <c r="V27" s="90"/>
      <c r="W27" s="157" t="s">
        <v>75</v>
      </c>
      <c r="X27" s="158">
        <f>Q39</f>
        <v>0</v>
      </c>
      <c r="Z27" s="124">
        <f t="shared" si="12"/>
        <v>0</v>
      </c>
      <c r="AA27" s="125">
        <f t="shared" si="13"/>
        <v>0</v>
      </c>
      <c r="AB27" s="124">
        <f t="shared" si="14"/>
        <v>0</v>
      </c>
      <c r="AC27" s="124">
        <f t="shared" si="15"/>
        <v>0</v>
      </c>
      <c r="AD27" s="124">
        <f t="shared" si="16"/>
        <v>0</v>
      </c>
      <c r="AE27" s="181">
        <f t="shared" si="17"/>
        <v>0</v>
      </c>
    </row>
    <row r="28" spans="1:32" ht="18" customHeight="1" x14ac:dyDescent="0.2">
      <c r="A28" s="34">
        <f t="shared" si="2"/>
        <v>5</v>
      </c>
      <c r="B28" s="38">
        <f t="shared" si="18"/>
        <v>45281</v>
      </c>
      <c r="C28" s="39">
        <f t="shared" si="3"/>
        <v>45281</v>
      </c>
      <c r="D28" s="105"/>
      <c r="E28" s="122"/>
      <c r="F28" s="122"/>
      <c r="G28" s="122"/>
      <c r="H28" s="122"/>
      <c r="I28" s="122"/>
      <c r="J28" s="122"/>
      <c r="K28" s="68">
        <f t="shared" si="4"/>
        <v>0</v>
      </c>
      <c r="L28" s="140">
        <f t="shared" si="0"/>
        <v>0</v>
      </c>
      <c r="M28" s="40">
        <f t="shared" si="5"/>
        <v>0</v>
      </c>
      <c r="N28" s="40">
        <f t="shared" si="6"/>
        <v>0</v>
      </c>
      <c r="O28" s="142">
        <f t="shared" si="7"/>
        <v>0</v>
      </c>
      <c r="P28" s="127">
        <f t="shared" si="1"/>
        <v>0.30555555555555552</v>
      </c>
      <c r="Q28" s="134" t="str">
        <f t="shared" si="8"/>
        <v/>
      </c>
      <c r="R28" s="127">
        <f t="shared" si="9"/>
        <v>0.30555555555555552</v>
      </c>
      <c r="S28" s="142">
        <f t="shared" si="10"/>
        <v>0</v>
      </c>
      <c r="T28" s="148">
        <f t="shared" si="11"/>
        <v>0</v>
      </c>
      <c r="U28" s="90"/>
      <c r="V28" s="90"/>
      <c r="W28" s="163" t="s">
        <v>76</v>
      </c>
      <c r="X28" s="164">
        <f>R39</f>
        <v>10.380555555555551</v>
      </c>
      <c r="Z28" s="124">
        <f t="shared" si="12"/>
        <v>0</v>
      </c>
      <c r="AA28" s="125">
        <f t="shared" si="13"/>
        <v>0</v>
      </c>
      <c r="AB28" s="124">
        <f t="shared" si="14"/>
        <v>0</v>
      </c>
      <c r="AC28" s="124">
        <f t="shared" si="15"/>
        <v>0</v>
      </c>
      <c r="AD28" s="124">
        <f t="shared" si="16"/>
        <v>0</v>
      </c>
      <c r="AE28" s="181">
        <f t="shared" si="17"/>
        <v>0</v>
      </c>
    </row>
    <row r="29" spans="1:32" ht="18" customHeight="1" x14ac:dyDescent="0.2">
      <c r="A29" s="34">
        <f t="shared" si="2"/>
        <v>6</v>
      </c>
      <c r="B29" s="38">
        <f t="shared" si="18"/>
        <v>45282</v>
      </c>
      <c r="C29" s="39">
        <f t="shared" si="3"/>
        <v>45282</v>
      </c>
      <c r="D29" s="105"/>
      <c r="E29" s="122"/>
      <c r="F29" s="122"/>
      <c r="G29" s="122"/>
      <c r="H29" s="122"/>
      <c r="I29" s="122"/>
      <c r="J29" s="122"/>
      <c r="K29" s="68">
        <f t="shared" si="4"/>
        <v>0</v>
      </c>
      <c r="L29" s="140">
        <f t="shared" si="0"/>
        <v>0</v>
      </c>
      <c r="M29" s="40">
        <f t="shared" si="5"/>
        <v>0</v>
      </c>
      <c r="N29" s="40">
        <f t="shared" si="6"/>
        <v>0</v>
      </c>
      <c r="O29" s="142">
        <f t="shared" si="7"/>
        <v>0</v>
      </c>
      <c r="P29" s="127">
        <f t="shared" si="1"/>
        <v>0.30555555555555552</v>
      </c>
      <c r="Q29" s="134" t="str">
        <f t="shared" si="8"/>
        <v/>
      </c>
      <c r="R29" s="127">
        <f t="shared" si="9"/>
        <v>0.30555555555555552</v>
      </c>
      <c r="S29" s="142">
        <f t="shared" si="10"/>
        <v>0</v>
      </c>
      <c r="T29" s="148">
        <f t="shared" si="11"/>
        <v>0</v>
      </c>
      <c r="U29" s="90"/>
      <c r="V29" s="90"/>
      <c r="W29" s="157" t="s">
        <v>77</v>
      </c>
      <c r="X29" s="158">
        <f>S39</f>
        <v>0</v>
      </c>
      <c r="Z29" s="124">
        <f t="shared" si="12"/>
        <v>0</v>
      </c>
      <c r="AA29" s="125">
        <f t="shared" si="13"/>
        <v>0</v>
      </c>
      <c r="AB29" s="124">
        <f t="shared" si="14"/>
        <v>0</v>
      </c>
      <c r="AC29" s="124">
        <f t="shared" si="15"/>
        <v>0</v>
      </c>
      <c r="AD29" s="124">
        <f t="shared" si="16"/>
        <v>0</v>
      </c>
      <c r="AE29" s="181">
        <f t="shared" si="17"/>
        <v>0</v>
      </c>
    </row>
    <row r="30" spans="1:32" ht="18" customHeight="1" x14ac:dyDescent="0.2">
      <c r="A30" s="34">
        <f t="shared" si="2"/>
        <v>7</v>
      </c>
      <c r="B30" s="38">
        <f t="shared" si="18"/>
        <v>45283</v>
      </c>
      <c r="C30" s="39">
        <f t="shared" si="3"/>
        <v>45283</v>
      </c>
      <c r="D30" s="105"/>
      <c r="E30" s="122"/>
      <c r="F30" s="122"/>
      <c r="G30" s="122"/>
      <c r="H30" s="122"/>
      <c r="I30" s="122"/>
      <c r="J30" s="122"/>
      <c r="K30" s="68">
        <f t="shared" si="4"/>
        <v>0</v>
      </c>
      <c r="L30" s="140">
        <f t="shared" si="0"/>
        <v>0</v>
      </c>
      <c r="M30" s="40">
        <f t="shared" si="5"/>
        <v>0</v>
      </c>
      <c r="N30" s="40">
        <f t="shared" si="6"/>
        <v>0</v>
      </c>
      <c r="O30" s="142">
        <f t="shared" si="7"/>
        <v>0</v>
      </c>
      <c r="P30" s="127">
        <f t="shared" si="1"/>
        <v>0.30555555555555552</v>
      </c>
      <c r="Q30" s="134" t="str">
        <f t="shared" si="8"/>
        <v/>
      </c>
      <c r="R30" s="127">
        <f t="shared" si="9"/>
        <v>0.30555555555555552</v>
      </c>
      <c r="S30" s="142">
        <f t="shared" si="10"/>
        <v>0</v>
      </c>
      <c r="T30" s="148">
        <f t="shared" si="11"/>
        <v>0</v>
      </c>
      <c r="U30" s="90"/>
      <c r="V30" s="90"/>
      <c r="W30" s="165" t="s">
        <v>78</v>
      </c>
      <c r="X30" s="166">
        <f>T39</f>
        <v>0</v>
      </c>
      <c r="Z30" s="124">
        <f t="shared" si="12"/>
        <v>0</v>
      </c>
      <c r="AA30" s="125">
        <f t="shared" si="13"/>
        <v>0</v>
      </c>
      <c r="AB30" s="124">
        <f t="shared" si="14"/>
        <v>0</v>
      </c>
      <c r="AC30" s="124">
        <f t="shared" si="15"/>
        <v>0</v>
      </c>
      <c r="AD30" s="124">
        <f t="shared" si="16"/>
        <v>0</v>
      </c>
      <c r="AE30" s="181">
        <f t="shared" si="17"/>
        <v>0</v>
      </c>
    </row>
    <row r="31" spans="1:32" ht="18" customHeight="1" x14ac:dyDescent="0.2">
      <c r="A31" s="34">
        <f t="shared" si="2"/>
        <v>1</v>
      </c>
      <c r="B31" s="38">
        <f t="shared" si="18"/>
        <v>45284</v>
      </c>
      <c r="C31" s="39">
        <f>IF(B31="","",IF(COUNTIF(fer,B31)&gt;0,"feriado",B31))</f>
        <v>45284</v>
      </c>
      <c r="D31" s="105"/>
      <c r="E31" s="122"/>
      <c r="F31" s="122"/>
      <c r="G31" s="122"/>
      <c r="H31" s="122"/>
      <c r="I31" s="122"/>
      <c r="J31" s="122"/>
      <c r="K31" s="68">
        <f t="shared" si="4"/>
        <v>0</v>
      </c>
      <c r="L31" s="140">
        <f t="shared" si="0"/>
        <v>0</v>
      </c>
      <c r="M31" s="40">
        <f t="shared" si="5"/>
        <v>0</v>
      </c>
      <c r="N31" s="40">
        <f t="shared" si="6"/>
        <v>0</v>
      </c>
      <c r="O31" s="142">
        <f t="shared" si="7"/>
        <v>0</v>
      </c>
      <c r="P31" s="127">
        <f t="shared" si="1"/>
        <v>0.30555555555555552</v>
      </c>
      <c r="Q31" s="134" t="str">
        <f t="shared" si="8"/>
        <v/>
      </c>
      <c r="R31" s="127">
        <f t="shared" si="9"/>
        <v>0.30555555555555552</v>
      </c>
      <c r="S31" s="142">
        <f t="shared" si="10"/>
        <v>0</v>
      </c>
      <c r="T31" s="148">
        <f t="shared" si="11"/>
        <v>0</v>
      </c>
      <c r="U31" s="90"/>
      <c r="V31" s="90"/>
      <c r="W31" s="90"/>
      <c r="X31" s="90"/>
      <c r="Z31" s="124">
        <f t="shared" si="12"/>
        <v>0</v>
      </c>
      <c r="AA31" s="125">
        <f t="shared" si="13"/>
        <v>0</v>
      </c>
      <c r="AB31" s="124">
        <f t="shared" si="14"/>
        <v>0</v>
      </c>
      <c r="AC31" s="124">
        <f t="shared" si="15"/>
        <v>0</v>
      </c>
      <c r="AD31" s="124">
        <f t="shared" si="16"/>
        <v>0</v>
      </c>
      <c r="AE31" s="181">
        <f t="shared" si="17"/>
        <v>0</v>
      </c>
    </row>
    <row r="32" spans="1:32" ht="18" customHeight="1" x14ac:dyDescent="0.2">
      <c r="A32" s="34">
        <f t="shared" si="2"/>
        <v>8</v>
      </c>
      <c r="B32" s="38">
        <f t="shared" si="18"/>
        <v>45285</v>
      </c>
      <c r="C32" s="39" t="str">
        <f t="shared" si="3"/>
        <v>feriado</v>
      </c>
      <c r="D32" s="105"/>
      <c r="E32" s="122"/>
      <c r="F32" s="122"/>
      <c r="G32" s="122"/>
      <c r="H32" s="122"/>
      <c r="I32" s="122"/>
      <c r="J32" s="122"/>
      <c r="K32" s="68">
        <f t="shared" si="4"/>
        <v>0</v>
      </c>
      <c r="L32" s="140">
        <f t="shared" si="0"/>
        <v>0</v>
      </c>
      <c r="M32" s="40">
        <f t="shared" si="5"/>
        <v>0</v>
      </c>
      <c r="N32" s="40">
        <f t="shared" si="6"/>
        <v>0</v>
      </c>
      <c r="O32" s="142">
        <f t="shared" si="7"/>
        <v>0</v>
      </c>
      <c r="P32" s="127">
        <f t="shared" si="1"/>
        <v>0.30555555555555552</v>
      </c>
      <c r="Q32" s="134" t="str">
        <f t="shared" si="8"/>
        <v/>
      </c>
      <c r="R32" s="127">
        <f t="shared" si="9"/>
        <v>0.30555555555555552</v>
      </c>
      <c r="S32" s="142">
        <f t="shared" si="10"/>
        <v>0</v>
      </c>
      <c r="T32" s="148">
        <f t="shared" si="11"/>
        <v>0</v>
      </c>
      <c r="U32" s="90"/>
      <c r="V32" s="90"/>
      <c r="W32" s="159" t="str">
        <f>IF(X28-X29=0,0,(IF(X28-X29&lt;0,"Horas Extras","Horas Compensadas")))</f>
        <v>Horas Compensadas</v>
      </c>
      <c r="X32" s="168">
        <f>IF(X28-X29&lt;0,(X28*-1)-(X29*-1),X28-X29)</f>
        <v>10.380555555555551</v>
      </c>
      <c r="Z32" s="124">
        <f t="shared" si="12"/>
        <v>0</v>
      </c>
      <c r="AA32" s="125">
        <f t="shared" si="13"/>
        <v>0</v>
      </c>
      <c r="AB32" s="124">
        <f t="shared" si="14"/>
        <v>0</v>
      </c>
      <c r="AC32" s="124">
        <f t="shared" si="15"/>
        <v>0</v>
      </c>
      <c r="AD32" s="124">
        <f t="shared" si="16"/>
        <v>0</v>
      </c>
      <c r="AE32" s="181">
        <f t="shared" si="17"/>
        <v>0</v>
      </c>
    </row>
    <row r="33" spans="1:31" ht="18" customHeight="1" x14ac:dyDescent="0.2">
      <c r="A33" s="34">
        <f t="shared" si="2"/>
        <v>3</v>
      </c>
      <c r="B33" s="38">
        <f t="shared" si="18"/>
        <v>45286</v>
      </c>
      <c r="C33" s="39">
        <f t="shared" si="3"/>
        <v>45286</v>
      </c>
      <c r="D33" s="105"/>
      <c r="E33" s="122"/>
      <c r="F33" s="122"/>
      <c r="G33" s="122"/>
      <c r="H33" s="122"/>
      <c r="I33" s="122"/>
      <c r="J33" s="122"/>
      <c r="K33" s="68">
        <f t="shared" si="4"/>
        <v>0</v>
      </c>
      <c r="L33" s="140">
        <f t="shared" si="0"/>
        <v>0</v>
      </c>
      <c r="M33" s="40">
        <f t="shared" si="5"/>
        <v>0</v>
      </c>
      <c r="N33" s="40">
        <f t="shared" si="6"/>
        <v>0</v>
      </c>
      <c r="O33" s="142">
        <f t="shared" si="7"/>
        <v>0</v>
      </c>
      <c r="P33" s="127">
        <f t="shared" si="1"/>
        <v>0.30555555555555552</v>
      </c>
      <c r="Q33" s="134" t="str">
        <f t="shared" si="8"/>
        <v/>
      </c>
      <c r="R33" s="127">
        <f t="shared" si="9"/>
        <v>0.30555555555555552</v>
      </c>
      <c r="S33" s="142">
        <f t="shared" si="10"/>
        <v>0</v>
      </c>
      <c r="T33" s="148">
        <f t="shared" si="11"/>
        <v>0</v>
      </c>
      <c r="U33" s="90"/>
      <c r="V33" s="90"/>
      <c r="W33" s="90"/>
      <c r="X33" s="90"/>
      <c r="Z33" s="124">
        <f t="shared" si="12"/>
        <v>0</v>
      </c>
      <c r="AA33" s="125">
        <f t="shared" si="13"/>
        <v>0</v>
      </c>
      <c r="AB33" s="124">
        <f t="shared" si="14"/>
        <v>0</v>
      </c>
      <c r="AC33" s="124">
        <f t="shared" si="15"/>
        <v>0</v>
      </c>
      <c r="AD33" s="124">
        <f t="shared" si="16"/>
        <v>0</v>
      </c>
      <c r="AE33" s="181">
        <f t="shared" si="17"/>
        <v>0</v>
      </c>
    </row>
    <row r="34" spans="1:31" ht="18" customHeight="1" x14ac:dyDescent="0.2">
      <c r="A34" s="34">
        <f t="shared" si="2"/>
        <v>4</v>
      </c>
      <c r="B34" s="38">
        <f t="shared" si="18"/>
        <v>45287</v>
      </c>
      <c r="C34" s="39">
        <f t="shared" si="3"/>
        <v>45287</v>
      </c>
      <c r="D34" s="105"/>
      <c r="E34" s="122"/>
      <c r="F34" s="122"/>
      <c r="G34" s="122"/>
      <c r="H34" s="122"/>
      <c r="I34" s="122"/>
      <c r="J34" s="122"/>
      <c r="K34" s="68">
        <f t="shared" si="4"/>
        <v>0</v>
      </c>
      <c r="L34" s="140">
        <f t="shared" si="0"/>
        <v>0</v>
      </c>
      <c r="M34" s="40">
        <f t="shared" si="5"/>
        <v>0</v>
      </c>
      <c r="N34" s="40">
        <f t="shared" si="6"/>
        <v>0</v>
      </c>
      <c r="O34" s="142">
        <f t="shared" si="7"/>
        <v>0</v>
      </c>
      <c r="P34" s="127">
        <f t="shared" si="1"/>
        <v>0.30555555555555552</v>
      </c>
      <c r="Q34" s="134" t="str">
        <f t="shared" si="8"/>
        <v/>
      </c>
      <c r="R34" s="127">
        <f t="shared" si="9"/>
        <v>0.30555555555555552</v>
      </c>
      <c r="S34" s="142">
        <f t="shared" si="10"/>
        <v>0</v>
      </c>
      <c r="T34" s="148">
        <f t="shared" si="11"/>
        <v>0</v>
      </c>
      <c r="U34" s="90"/>
      <c r="V34" s="90"/>
      <c r="W34" s="90"/>
      <c r="X34" s="90"/>
      <c r="Z34" s="124">
        <f t="shared" si="12"/>
        <v>0</v>
      </c>
      <c r="AA34" s="125">
        <f t="shared" si="13"/>
        <v>0</v>
      </c>
      <c r="AB34" s="124">
        <f t="shared" si="14"/>
        <v>0</v>
      </c>
      <c r="AC34" s="124">
        <f t="shared" si="15"/>
        <v>0</v>
      </c>
      <c r="AD34" s="124">
        <f t="shared" si="16"/>
        <v>0</v>
      </c>
      <c r="AE34" s="181">
        <f t="shared" si="17"/>
        <v>0</v>
      </c>
    </row>
    <row r="35" spans="1:31" ht="18" customHeight="1" x14ac:dyDescent="0.2">
      <c r="A35" s="34">
        <f t="shared" si="2"/>
        <v>5</v>
      </c>
      <c r="B35" s="38">
        <f t="shared" si="18"/>
        <v>45288</v>
      </c>
      <c r="C35" s="39">
        <f t="shared" si="3"/>
        <v>45288</v>
      </c>
      <c r="D35" s="105"/>
      <c r="E35" s="122"/>
      <c r="F35" s="122"/>
      <c r="G35" s="122"/>
      <c r="H35" s="122"/>
      <c r="I35" s="122"/>
      <c r="J35" s="122"/>
      <c r="K35" s="68">
        <f t="shared" si="4"/>
        <v>0</v>
      </c>
      <c r="L35" s="140">
        <f t="shared" si="0"/>
        <v>0</v>
      </c>
      <c r="M35" s="40">
        <f t="shared" si="5"/>
        <v>0</v>
      </c>
      <c r="N35" s="40">
        <f t="shared" si="6"/>
        <v>0</v>
      </c>
      <c r="O35" s="142">
        <f t="shared" si="7"/>
        <v>0</v>
      </c>
      <c r="P35" s="127">
        <f t="shared" si="1"/>
        <v>0.30555555555555552</v>
      </c>
      <c r="Q35" s="134" t="str">
        <f t="shared" si="8"/>
        <v/>
      </c>
      <c r="R35" s="127">
        <f t="shared" si="9"/>
        <v>0.30555555555555552</v>
      </c>
      <c r="S35" s="142">
        <f t="shared" si="10"/>
        <v>0</v>
      </c>
      <c r="T35" s="148">
        <f t="shared" si="11"/>
        <v>0</v>
      </c>
      <c r="U35" s="90"/>
      <c r="V35" s="90"/>
      <c r="W35" s="90"/>
      <c r="X35" s="90"/>
      <c r="Z35" s="124">
        <f t="shared" si="12"/>
        <v>0</v>
      </c>
      <c r="AA35" s="125">
        <f t="shared" si="13"/>
        <v>0</v>
      </c>
      <c r="AB35" s="124">
        <f t="shared" si="14"/>
        <v>0</v>
      </c>
      <c r="AC35" s="124">
        <f t="shared" si="15"/>
        <v>0</v>
      </c>
      <c r="AD35" s="124">
        <f t="shared" si="16"/>
        <v>0</v>
      </c>
      <c r="AE35" s="181">
        <f t="shared" si="17"/>
        <v>0</v>
      </c>
    </row>
    <row r="36" spans="1:31" ht="18" customHeight="1" x14ac:dyDescent="0.2">
      <c r="A36" s="34">
        <f t="shared" si="2"/>
        <v>6</v>
      </c>
      <c r="B36" s="38">
        <f>IF(B35="","",IF(B35&gt;=W117,"",B35+1))</f>
        <v>45289</v>
      </c>
      <c r="C36" s="39">
        <f t="shared" si="3"/>
        <v>45289</v>
      </c>
      <c r="D36" s="105"/>
      <c r="E36" s="122"/>
      <c r="F36" s="122"/>
      <c r="G36" s="122"/>
      <c r="H36" s="122"/>
      <c r="I36" s="122"/>
      <c r="J36" s="122"/>
      <c r="K36" s="68">
        <f t="shared" si="4"/>
        <v>0</v>
      </c>
      <c r="L36" s="140">
        <f t="shared" si="0"/>
        <v>0</v>
      </c>
      <c r="M36" s="40">
        <f t="shared" si="5"/>
        <v>0</v>
      </c>
      <c r="N36" s="40">
        <f t="shared" si="6"/>
        <v>0</v>
      </c>
      <c r="O36" s="142">
        <f t="shared" si="7"/>
        <v>0</v>
      </c>
      <c r="P36" s="127">
        <f t="shared" si="1"/>
        <v>0.30555555555555552</v>
      </c>
      <c r="Q36" s="134" t="str">
        <f t="shared" si="8"/>
        <v/>
      </c>
      <c r="R36" s="127">
        <f t="shared" si="9"/>
        <v>0.30555555555555552</v>
      </c>
      <c r="S36" s="142">
        <f t="shared" si="10"/>
        <v>0</v>
      </c>
      <c r="T36" s="148">
        <f t="shared" si="11"/>
        <v>0</v>
      </c>
      <c r="U36" s="90"/>
      <c r="V36" s="90"/>
      <c r="W36" s="90"/>
      <c r="X36" s="90"/>
      <c r="Z36" s="124">
        <f t="shared" si="12"/>
        <v>0</v>
      </c>
      <c r="AA36" s="125">
        <f t="shared" si="13"/>
        <v>0</v>
      </c>
      <c r="AB36" s="124">
        <f t="shared" si="14"/>
        <v>0</v>
      </c>
      <c r="AC36" s="124">
        <f t="shared" si="15"/>
        <v>0</v>
      </c>
      <c r="AD36" s="124">
        <f t="shared" si="16"/>
        <v>0</v>
      </c>
      <c r="AE36" s="181">
        <f t="shared" si="17"/>
        <v>0</v>
      </c>
    </row>
    <row r="37" spans="1:31" ht="18" customHeight="1" x14ac:dyDescent="0.2">
      <c r="A37" s="34">
        <f t="shared" si="2"/>
        <v>7</v>
      </c>
      <c r="B37" s="38">
        <f>IF(B36="","",IF(B36&gt;=W117,"",B36+1))</f>
        <v>45290</v>
      </c>
      <c r="C37" s="39">
        <f t="shared" si="3"/>
        <v>45290</v>
      </c>
      <c r="D37" s="105"/>
      <c r="E37" s="122"/>
      <c r="F37" s="122"/>
      <c r="G37" s="122"/>
      <c r="H37" s="122"/>
      <c r="I37" s="122"/>
      <c r="J37" s="122"/>
      <c r="K37" s="68">
        <f t="shared" si="4"/>
        <v>0</v>
      </c>
      <c r="L37" s="140">
        <f t="shared" si="0"/>
        <v>0</v>
      </c>
      <c r="M37" s="40">
        <f t="shared" si="5"/>
        <v>0</v>
      </c>
      <c r="N37" s="40">
        <f t="shared" si="6"/>
        <v>0</v>
      </c>
      <c r="O37" s="142">
        <f t="shared" si="7"/>
        <v>0</v>
      </c>
      <c r="P37" s="127">
        <f t="shared" si="1"/>
        <v>0.30555555555555552</v>
      </c>
      <c r="Q37" s="134" t="str">
        <f t="shared" si="8"/>
        <v/>
      </c>
      <c r="R37" s="127">
        <f t="shared" si="9"/>
        <v>0.30555555555555552</v>
      </c>
      <c r="S37" s="142">
        <f t="shared" si="10"/>
        <v>0</v>
      </c>
      <c r="T37" s="148">
        <f t="shared" si="11"/>
        <v>0</v>
      </c>
      <c r="U37" s="90"/>
      <c r="V37" s="90"/>
      <c r="W37" s="90"/>
      <c r="X37" s="90"/>
      <c r="Z37" s="124">
        <f t="shared" si="12"/>
        <v>0</v>
      </c>
      <c r="AA37" s="125">
        <f t="shared" si="13"/>
        <v>0</v>
      </c>
      <c r="AB37" s="124">
        <f t="shared" si="14"/>
        <v>0</v>
      </c>
      <c r="AC37" s="124">
        <f t="shared" si="15"/>
        <v>0</v>
      </c>
      <c r="AD37" s="124">
        <f t="shared" si="16"/>
        <v>0</v>
      </c>
      <c r="AE37" s="181">
        <f t="shared" si="17"/>
        <v>0</v>
      </c>
    </row>
    <row r="38" spans="1:31" ht="18" customHeight="1" x14ac:dyDescent="0.2">
      <c r="A38" s="34">
        <f t="shared" si="2"/>
        <v>1</v>
      </c>
      <c r="B38" s="41">
        <f>IF(B37="","",IF(B37&gt;=W117,"",B37+1))</f>
        <v>45291</v>
      </c>
      <c r="C38" s="42">
        <f t="shared" si="3"/>
        <v>45291</v>
      </c>
      <c r="D38" s="106"/>
      <c r="E38" s="123"/>
      <c r="F38" s="122"/>
      <c r="G38" s="122"/>
      <c r="H38" s="123"/>
      <c r="I38" s="123"/>
      <c r="J38" s="123"/>
      <c r="K38" s="75">
        <f t="shared" si="4"/>
        <v>0</v>
      </c>
      <c r="L38" s="75">
        <f t="shared" si="0"/>
        <v>0</v>
      </c>
      <c r="M38" s="43">
        <f t="shared" si="5"/>
        <v>0</v>
      </c>
      <c r="N38" s="43">
        <f t="shared" si="6"/>
        <v>0</v>
      </c>
      <c r="O38" s="44">
        <f>IF(B38="","",MOD((AA38-Z38)+(AC38-AB38)+(AE38-AD38),1)+M38)</f>
        <v>0</v>
      </c>
      <c r="P38" s="126">
        <f t="shared" si="1"/>
        <v>0.30555555555555552</v>
      </c>
      <c r="Q38" s="134" t="str">
        <f t="shared" si="8"/>
        <v/>
      </c>
      <c r="R38" s="127">
        <f t="shared" si="9"/>
        <v>0.30555555555555552</v>
      </c>
      <c r="S38" s="44">
        <f>IF(B38="","",IF(AND(WEEKDAY(B38,1)=7,P38=0,D38&lt;&gt;"F"),MAX(0,O38-P38),IF(P38=0,0,MAX(0,O38-P38))))</f>
        <v>0</v>
      </c>
      <c r="T38" s="45">
        <f>IF(B38="","",IF(AND(WEEKDAY(B38,1)=7,P38=0,D38="F"),0,IF(P38=0,O38,0)))</f>
        <v>0</v>
      </c>
      <c r="U38" s="90"/>
      <c r="V38" s="90"/>
      <c r="W38" s="90"/>
      <c r="X38" s="90"/>
      <c r="Z38" s="124">
        <f t="shared" si="12"/>
        <v>0</v>
      </c>
      <c r="AA38" s="125">
        <f t="shared" si="13"/>
        <v>0</v>
      </c>
      <c r="AB38" s="124">
        <f t="shared" si="14"/>
        <v>0</v>
      </c>
      <c r="AC38" s="124">
        <f t="shared" si="15"/>
        <v>0</v>
      </c>
      <c r="AD38" s="124">
        <f t="shared" si="16"/>
        <v>0</v>
      </c>
      <c r="AE38" s="181">
        <f t="shared" si="17"/>
        <v>0</v>
      </c>
    </row>
    <row r="39" spans="1:31" ht="18" customHeight="1" x14ac:dyDescent="0.2">
      <c r="B39" s="54" t="s">
        <v>24</v>
      </c>
      <c r="C39" s="54" t="s">
        <v>25</v>
      </c>
      <c r="D39" s="54"/>
      <c r="E39" s="54" t="s">
        <v>30</v>
      </c>
      <c r="F39" s="54" t="s">
        <v>31</v>
      </c>
      <c r="G39" s="54" t="s">
        <v>32</v>
      </c>
      <c r="H39" s="54" t="s">
        <v>33</v>
      </c>
      <c r="I39" s="61"/>
      <c r="J39" s="61"/>
      <c r="K39" s="61" t="s">
        <v>34</v>
      </c>
      <c r="L39" s="62" t="s">
        <v>35</v>
      </c>
      <c r="M39" s="63" t="s">
        <v>36</v>
      </c>
      <c r="N39" s="64">
        <f>SUM(N8:N38)</f>
        <v>0</v>
      </c>
      <c r="O39" s="64">
        <f>SUM(O8:O38)</f>
        <v>0</v>
      </c>
      <c r="P39" s="59" t="s">
        <v>36</v>
      </c>
      <c r="Q39" s="64">
        <f>SUM(Q8:Q38)</f>
        <v>0</v>
      </c>
      <c r="R39" s="64">
        <f>SUM(R7:R38)</f>
        <v>10.380555555555551</v>
      </c>
      <c r="S39" s="64">
        <f>SUM(S7:S38)</f>
        <v>0</v>
      </c>
      <c r="T39" s="64">
        <f>SUM(T8:T38)</f>
        <v>0</v>
      </c>
      <c r="U39" s="91"/>
      <c r="V39" s="91"/>
      <c r="W39" s="91"/>
      <c r="X39" s="91"/>
    </row>
    <row r="40" spans="1:31" ht="18" customHeight="1" x14ac:dyDescent="0.2">
      <c r="B40" s="55">
        <f>B8</f>
        <v>45261</v>
      </c>
      <c r="C40" s="55">
        <f>MAX(B8:B38)</f>
        <v>45291</v>
      </c>
      <c r="D40" s="55"/>
      <c r="E40" s="56">
        <f>COUNTIF(C8:C38,"feriado")</f>
        <v>1</v>
      </c>
      <c r="F40" s="57">
        <f ca="1">SUMPRODUCT((WEEKDAY(ROW(INDIRECT($B40&amp;":"&amp;$C40)))=1)*(COUNTIF(fer,ROW(INDIRECT($B40&amp;":"&amp;$C40)))=0))</f>
        <v>5</v>
      </c>
      <c r="G40" s="57">
        <f>C40-B40+1</f>
        <v>31</v>
      </c>
      <c r="H40" s="57">
        <f ca="1">G40-K40</f>
        <v>25</v>
      </c>
      <c r="I40" s="60"/>
      <c r="J40" s="60"/>
      <c r="K40" s="60">
        <f ca="1">E40+F40</f>
        <v>6</v>
      </c>
      <c r="L40" s="65" t="str">
        <f ca="1">H40&amp;"/"&amp;K40</f>
        <v>25/6</v>
      </c>
      <c r="M40" s="66" t="s">
        <v>37</v>
      </c>
      <c r="N40" s="58">
        <f>N39*24</f>
        <v>0</v>
      </c>
      <c r="O40" s="58">
        <f>O39*24</f>
        <v>0</v>
      </c>
      <c r="P40" s="59" t="s">
        <v>37</v>
      </c>
      <c r="Q40" s="58">
        <f t="shared" ref="Q40:R40" si="19">Q39*24</f>
        <v>0</v>
      </c>
      <c r="R40" s="58">
        <f t="shared" si="19"/>
        <v>249.13333333333321</v>
      </c>
      <c r="S40" s="58">
        <f>S39*24</f>
        <v>0</v>
      </c>
      <c r="T40" s="58">
        <f>T39*24</f>
        <v>0</v>
      </c>
      <c r="U40" s="92"/>
      <c r="V40" s="92"/>
      <c r="W40" s="92"/>
      <c r="X40" s="92"/>
    </row>
    <row r="41" spans="1:31" ht="18" customHeight="1" x14ac:dyDescent="0.2">
      <c r="B41" s="114" t="str">
        <f>IF(dia_f="","",DATE(YEAR(W117),MONTH(W117),1))</f>
        <v/>
      </c>
      <c r="C41" s="115" t="str">
        <f>IF(dia_f="","",EOMONTH(B41,0))</f>
        <v/>
      </c>
      <c r="D41" s="67"/>
      <c r="E41" s="56" t="str">
        <f>IF(B41="","",SUMPRODUCT(((WEEKDAY(fer)&gt;1))*(fer&gt;=B41)*(fer&lt;=C41)))</f>
        <v/>
      </c>
      <c r="F41" s="57" t="str">
        <f ca="1">IF(B41="","",SUMPRODUCT((WEEKDAY(ROW(INDIRECT($B41&amp;":"&amp;$C41)))=1)*1))</f>
        <v/>
      </c>
      <c r="G41" s="107" t="str">
        <f>IF(B41="","",DAY(C41))</f>
        <v/>
      </c>
      <c r="H41" s="107" t="str">
        <f ca="1">IF(B41="","",SUMPRODUCT((WEEKDAY(ROW(INDIRECT(B41&amp;":"&amp;C41)))&gt;1)*(COUNTIF(fer,ROW(INDIRECT(B41&amp;":"&amp;C41)))=0)))</f>
        <v/>
      </c>
      <c r="I41" s="107"/>
      <c r="J41" s="107"/>
      <c r="K41" s="60" t="str">
        <f>IF(B41="","",E41+F41)</f>
        <v/>
      </c>
      <c r="L41" s="65" t="str">
        <f>IF(B41="","",H41&amp;"/"&amp;K41)</f>
        <v/>
      </c>
      <c r="M41" s="67" t="s">
        <v>38</v>
      </c>
      <c r="N41" s="58">
        <f ca="1">N40/$H$40*$K$40</f>
        <v>0</v>
      </c>
      <c r="O41" s="152"/>
      <c r="P41" s="153"/>
      <c r="Q41" s="153"/>
      <c r="R41" s="153"/>
      <c r="S41" s="154"/>
      <c r="T41" s="154"/>
      <c r="U41" s="92"/>
      <c r="V41" s="92"/>
      <c r="W41" s="92"/>
      <c r="X41" s="92"/>
    </row>
    <row r="42" spans="1:31" ht="18" customHeight="1" x14ac:dyDescent="0.2">
      <c r="M42" s="117" t="str">
        <f>IF(B41="","","Dsr mês:")</f>
        <v/>
      </c>
      <c r="N42" s="188" t="str">
        <f>IF(B41="","",N40/H41*K41)</f>
        <v/>
      </c>
      <c r="O42" s="206" t="str">
        <f>IF(B41="","","Dsr mês:")</f>
        <v/>
      </c>
      <c r="P42" s="206"/>
      <c r="Q42" s="151"/>
      <c r="R42" s="151"/>
      <c r="S42" s="92" t="str">
        <f>IF(B41="","",S40/$H$41*$K$41)</f>
        <v/>
      </c>
      <c r="T42" s="92" t="str">
        <f>IF(B41="","",T40/$H$41*$K$41)</f>
        <v/>
      </c>
    </row>
    <row r="44" spans="1:31" ht="18.75" x14ac:dyDescent="0.2">
      <c r="C44" s="70"/>
      <c r="D44" s="120"/>
      <c r="H44" s="1"/>
      <c r="I44" s="1"/>
      <c r="J44" s="1"/>
      <c r="K44" s="1"/>
      <c r="L44" s="1"/>
      <c r="M44" s="1"/>
      <c r="N44" s="1"/>
    </row>
    <row r="45" spans="1:31" x14ac:dyDescent="0.2">
      <c r="D45" s="135"/>
    </row>
    <row r="47" spans="1:31" x14ac:dyDescent="0.2">
      <c r="D47" s="136"/>
    </row>
    <row r="48" spans="1:31" x14ac:dyDescent="0.2">
      <c r="D48" s="136"/>
    </row>
    <row r="116" spans="4:24" x14ac:dyDescent="0.2">
      <c r="W116" s="73">
        <f>B8</f>
        <v>45261</v>
      </c>
      <c r="X116" s="69" t="s">
        <v>39</v>
      </c>
    </row>
    <row r="117" spans="4:24" x14ac:dyDescent="0.2">
      <c r="W117" s="73">
        <f>IF(DAY(B8)=1,EOMONTH(B8,0),DATE(YEAR(B8),MONTH(B8)+1,dia_f))</f>
        <v>45291</v>
      </c>
      <c r="X117" s="69" t="s">
        <v>40</v>
      </c>
    </row>
    <row r="119" spans="4:24" x14ac:dyDescent="0.2">
      <c r="D119" s="69" t="s">
        <v>41</v>
      </c>
      <c r="F119" s="69" t="s">
        <v>42</v>
      </c>
    </row>
    <row r="120" spans="4:24" x14ac:dyDescent="0.2">
      <c r="D120" s="116">
        <v>1</v>
      </c>
      <c r="F120" s="118">
        <v>2020</v>
      </c>
    </row>
    <row r="121" spans="4:24" x14ac:dyDescent="0.2">
      <c r="D121" s="119">
        <v>2</v>
      </c>
      <c r="F121" s="118">
        <v>2021</v>
      </c>
    </row>
    <row r="122" spans="4:24" x14ac:dyDescent="0.2">
      <c r="D122" s="119">
        <v>3</v>
      </c>
      <c r="F122" s="118">
        <v>2022</v>
      </c>
    </row>
    <row r="123" spans="4:24" x14ac:dyDescent="0.2">
      <c r="D123" s="120">
        <v>4</v>
      </c>
      <c r="F123" s="118">
        <v>2023</v>
      </c>
    </row>
    <row r="124" spans="4:24" x14ac:dyDescent="0.2">
      <c r="D124" s="120">
        <v>5</v>
      </c>
      <c r="F124" s="118">
        <v>2024</v>
      </c>
    </row>
    <row r="125" spans="4:24" x14ac:dyDescent="0.2">
      <c r="D125" s="120">
        <v>6</v>
      </c>
      <c r="F125" s="118">
        <v>2025</v>
      </c>
    </row>
    <row r="126" spans="4:24" x14ac:dyDescent="0.2">
      <c r="D126" s="120">
        <v>7</v>
      </c>
      <c r="F126" s="118">
        <v>2026</v>
      </c>
    </row>
    <row r="127" spans="4:24" x14ac:dyDescent="0.2">
      <c r="D127" s="120">
        <v>8</v>
      </c>
      <c r="F127" s="118">
        <v>2027</v>
      </c>
    </row>
    <row r="128" spans="4:24" x14ac:dyDescent="0.2">
      <c r="D128" s="120">
        <v>9</v>
      </c>
      <c r="F128" s="118">
        <v>2028</v>
      </c>
    </row>
    <row r="129" spans="4:6" x14ac:dyDescent="0.2">
      <c r="D129" s="120">
        <v>10</v>
      </c>
      <c r="F129" s="118">
        <v>2029</v>
      </c>
    </row>
    <row r="130" spans="4:6" x14ac:dyDescent="0.2">
      <c r="D130" s="120">
        <v>11</v>
      </c>
      <c r="F130" s="118">
        <v>2030</v>
      </c>
    </row>
    <row r="131" spans="4:6" x14ac:dyDescent="0.2">
      <c r="D131" s="120">
        <v>12</v>
      </c>
      <c r="F131" s="118">
        <v>2031</v>
      </c>
    </row>
    <row r="150" spans="2:4" x14ac:dyDescent="0.2">
      <c r="B150" s="69"/>
      <c r="C150" s="70"/>
      <c r="D150" s="70"/>
    </row>
    <row r="151" spans="2:4" x14ac:dyDescent="0.2">
      <c r="B151" s="69"/>
      <c r="C151" s="70"/>
      <c r="D151" s="70"/>
    </row>
  </sheetData>
  <mergeCells count="9">
    <mergeCell ref="O42:P42"/>
    <mergeCell ref="H2:H3"/>
    <mergeCell ref="S2:S4"/>
    <mergeCell ref="Z6:AE6"/>
    <mergeCell ref="B5:C5"/>
    <mergeCell ref="W6:X7"/>
    <mergeCell ref="B7:C7"/>
    <mergeCell ref="W17:X17"/>
    <mergeCell ref="W20:X20"/>
  </mergeCells>
  <conditionalFormatting sqref="B8:C38">
    <cfRule type="expression" dxfId="47" priority="10">
      <formula>WEEKDAY($B8,2)=7</formula>
    </cfRule>
    <cfRule type="expression" dxfId="46" priority="11">
      <formula>COUNTIF(fer,$B8)&gt;0</formula>
    </cfRule>
  </conditionalFormatting>
  <conditionalFormatting sqref="D8:D38">
    <cfRule type="cellIs" dxfId="45" priority="9" operator="equal">
      <formula>"F"</formula>
    </cfRule>
  </conditionalFormatting>
  <conditionalFormatting sqref="M42">
    <cfRule type="expression" dxfId="44" priority="8">
      <formula>$B$41&lt;&gt;""</formula>
    </cfRule>
  </conditionalFormatting>
  <conditionalFormatting sqref="N42">
    <cfRule type="expression" dxfId="43" priority="7">
      <formula>$B$41&lt;&gt;""</formula>
    </cfRule>
  </conditionalFormatting>
  <conditionalFormatting sqref="O42:R42">
    <cfRule type="expression" dxfId="42" priority="6">
      <formula>$B$41&lt;&gt;""</formula>
    </cfRule>
  </conditionalFormatting>
  <conditionalFormatting sqref="S42:T42">
    <cfRule type="expression" dxfId="41" priority="5">
      <formula>$B$41&lt;&gt;""</formula>
    </cfRule>
  </conditionalFormatting>
  <conditionalFormatting sqref="E38:T38">
    <cfRule type="expression" dxfId="40" priority="4">
      <formula>$D38="F"</formula>
    </cfRule>
  </conditionalFormatting>
  <conditionalFormatting sqref="Q8:Q38">
    <cfRule type="expression" dxfId="39" priority="3">
      <formula>Q8&gt;0</formula>
    </cfRule>
  </conditionalFormatting>
  <conditionalFormatting sqref="R7:R38">
    <cfRule type="expression" dxfId="38" priority="2">
      <formula>R7&gt;0</formula>
    </cfRule>
  </conditionalFormatting>
  <conditionalFormatting sqref="E8:J37">
    <cfRule type="expression" dxfId="37" priority="1">
      <formula>$D8="F"</formula>
    </cfRule>
  </conditionalFormatting>
  <dataValidations count="1">
    <dataValidation type="custom" allowBlank="1" showInputMessage="1" showErrorMessage="1" sqref="E8:J38" xr:uid="{A31DE47F-C02D-4F97-97F6-561725787F79}">
      <formula1>OR(E8=2400,TEXT(E8,"00\:00")=TEXT(Z8,"hh:mm"))</formula1>
    </dataValidation>
  </dataValidations>
  <pageMargins left="0.75" right="0.75" top="1" bottom="1" header="0.49212598499999999" footer="0.49212598499999999"/>
  <pageSetup paperSize="9" scale="83" orientation="landscape" r:id="rId1"/>
  <headerFooter alignWithMargins="0"/>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100" r:id="rId4" name="Botão 4">
              <controlPr defaultSize="0" print="0" autoFill="0" autoPict="0" macro="[0]!Limpar_Click">
                <anchor moveWithCells="1" sizeWithCells="1">
                  <from>
                    <xdr:col>22</xdr:col>
                    <xdr:colOff>85725</xdr:colOff>
                    <xdr:row>32</xdr:row>
                    <xdr:rowOff>142875</xdr:rowOff>
                  </from>
                  <to>
                    <xdr:col>23</xdr:col>
                    <xdr:colOff>447675</xdr:colOff>
                    <xdr:row>35</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5">
    <tabColor theme="6"/>
  </sheetPr>
  <dimension ref="A1:AF151"/>
  <sheetViews>
    <sheetView showGridLines="0" zoomScaleNormal="100" workbookViewId="0">
      <selection activeCell="J121" sqref="J121"/>
    </sheetView>
  </sheetViews>
  <sheetFormatPr defaultRowHeight="12.75" x14ac:dyDescent="0.2"/>
  <cols>
    <col min="1" max="1" width="2.7109375" customWidth="1"/>
    <col min="2" max="2" width="12.140625" customWidth="1"/>
    <col min="3" max="3" width="12.42578125" customWidth="1"/>
    <col min="4" max="4" width="6.85546875" customWidth="1"/>
    <col min="5" max="5" width="9.42578125" customWidth="1"/>
    <col min="6" max="7" width="9.42578125" bestFit="1" customWidth="1"/>
    <col min="8" max="8" width="10.140625" bestFit="1" customWidth="1"/>
    <col min="9" max="10" width="10.140625" customWidth="1"/>
    <col min="11" max="14" width="9.42578125" customWidth="1"/>
    <col min="15" max="17" width="11.28515625" customWidth="1"/>
    <col min="18" max="18" width="9.28515625" customWidth="1"/>
    <col min="19" max="19" width="11.28515625" customWidth="1"/>
    <col min="21" max="22" width="0.85546875" customWidth="1"/>
    <col min="23" max="23" width="24" customWidth="1"/>
    <col min="24" max="24" width="8.42578125" customWidth="1"/>
    <col min="25" max="25" width="6.7109375" customWidth="1"/>
    <col min="26" max="31" width="9.7109375" customWidth="1"/>
    <col min="32" max="32" width="26.85546875" customWidth="1"/>
  </cols>
  <sheetData>
    <row r="1" spans="1:32" ht="18" customHeight="1" x14ac:dyDescent="0.2">
      <c r="E1" s="182" t="str">
        <f>CHOOSE(MONTH(W117),"Janeiro","Fevereiro","Março","Abril","Maio","Junho","Julho","Agosto","Setembro","Outubro","Novembro","Dezembro")</f>
        <v>Janeiro</v>
      </c>
      <c r="F1" s="69"/>
      <c r="H1" s="177"/>
      <c r="I1" s="177"/>
      <c r="J1" s="177"/>
    </row>
    <row r="2" spans="1:32" ht="15" customHeight="1" x14ac:dyDescent="0.2">
      <c r="D2" s="110"/>
      <c r="E2" s="121"/>
      <c r="H2" s="203"/>
      <c r="I2" s="179"/>
      <c r="J2" s="179"/>
      <c r="L2" s="2"/>
      <c r="S2" s="217"/>
      <c r="Z2" s="137"/>
      <c r="AA2" s="84"/>
      <c r="AB2" s="84"/>
      <c r="AC2" s="84"/>
      <c r="AD2" s="84"/>
    </row>
    <row r="3" spans="1:32" ht="15" customHeight="1" x14ac:dyDescent="0.2">
      <c r="D3" s="110"/>
      <c r="E3" s="121"/>
      <c r="H3" s="204"/>
      <c r="I3" s="180"/>
      <c r="J3" s="180"/>
      <c r="L3" s="3"/>
      <c r="M3" s="72"/>
      <c r="S3" s="217"/>
      <c r="Z3" s="84"/>
      <c r="AA3" s="84"/>
      <c r="AB3" s="84"/>
      <c r="AC3" s="84"/>
      <c r="AD3" s="84"/>
    </row>
    <row r="4" spans="1:32" ht="15" customHeight="1" x14ac:dyDescent="0.2">
      <c r="S4" s="217"/>
      <c r="AA4" s="146"/>
      <c r="AB4" s="146"/>
      <c r="AC4" s="146"/>
      <c r="AD4" s="84"/>
    </row>
    <row r="5" spans="1:32" ht="24.95" customHeight="1" x14ac:dyDescent="0.2">
      <c r="B5" s="218" t="s">
        <v>80</v>
      </c>
      <c r="C5" s="219"/>
      <c r="D5" s="185" t="str">
        <f>Outubro!D5</f>
        <v>Alexandre José de Souza Silva</v>
      </c>
      <c r="E5" s="191"/>
      <c r="F5" s="192"/>
      <c r="G5" s="144"/>
      <c r="H5" s="145"/>
      <c r="I5" s="195" t="s">
        <v>85</v>
      </c>
      <c r="J5" s="143"/>
      <c r="K5" s="144"/>
      <c r="L5" s="144"/>
      <c r="M5" s="144"/>
      <c r="N5" s="145"/>
      <c r="O5" s="196" t="s">
        <v>86</v>
      </c>
      <c r="P5" s="143"/>
      <c r="Q5" s="144"/>
      <c r="R5" s="144"/>
      <c r="S5" s="144"/>
      <c r="T5" s="145"/>
      <c r="Z5" s="146"/>
      <c r="AA5" s="146"/>
      <c r="AB5" s="146"/>
      <c r="AC5" s="146"/>
    </row>
    <row r="6" spans="1:32" ht="25.5" customHeight="1" x14ac:dyDescent="0.2">
      <c r="B6" s="74" t="s">
        <v>1</v>
      </c>
      <c r="C6" s="74" t="s">
        <v>2</v>
      </c>
      <c r="D6" s="74" t="s">
        <v>3</v>
      </c>
      <c r="E6" s="74" t="s">
        <v>4</v>
      </c>
      <c r="F6" s="74" t="s">
        <v>5</v>
      </c>
      <c r="G6" s="74" t="s">
        <v>4</v>
      </c>
      <c r="H6" s="74" t="s">
        <v>5</v>
      </c>
      <c r="I6" s="74" t="s">
        <v>4</v>
      </c>
      <c r="J6" s="74" t="s">
        <v>5</v>
      </c>
      <c r="K6" s="74" t="s">
        <v>6</v>
      </c>
      <c r="L6" s="74" t="s">
        <v>7</v>
      </c>
      <c r="M6" s="74" t="s">
        <v>8</v>
      </c>
      <c r="N6" s="74" t="s">
        <v>84</v>
      </c>
      <c r="O6" s="74" t="s">
        <v>9</v>
      </c>
      <c r="P6" s="74" t="s">
        <v>10</v>
      </c>
      <c r="Q6" s="74" t="s">
        <v>71</v>
      </c>
      <c r="R6" s="74" t="s">
        <v>70</v>
      </c>
      <c r="S6" s="74" t="s">
        <v>11</v>
      </c>
      <c r="T6" s="74" t="s">
        <v>12</v>
      </c>
      <c r="W6" s="220" t="s">
        <v>13</v>
      </c>
      <c r="X6" s="221"/>
      <c r="Z6" s="200" t="s">
        <v>0</v>
      </c>
      <c r="AA6" s="201"/>
      <c r="AB6" s="201"/>
      <c r="AC6" s="201"/>
      <c r="AD6" s="201"/>
      <c r="AE6" s="202"/>
    </row>
    <row r="7" spans="1:32" ht="18" customHeight="1" x14ac:dyDescent="0.2">
      <c r="B7" s="211" t="s">
        <v>73</v>
      </c>
      <c r="C7" s="212"/>
      <c r="D7" s="143"/>
      <c r="E7" s="144"/>
      <c r="F7" s="144"/>
      <c r="G7" s="144"/>
      <c r="H7" s="144"/>
      <c r="I7" s="144"/>
      <c r="J7" s="144"/>
      <c r="K7" s="144"/>
      <c r="L7" s="144"/>
      <c r="M7" s="144"/>
      <c r="N7" s="144"/>
      <c r="O7" s="144"/>
      <c r="P7" s="144"/>
      <c r="Q7" s="145"/>
      <c r="R7" s="156">
        <f>IF(Dezembro!W32="Horas Compensadas",Dezembro!X32,0)</f>
        <v>10.380555555555551</v>
      </c>
      <c r="S7" s="149">
        <f>IF(Dezembro!W32="Horas Extras",Dezembro!X32,0)</f>
        <v>0</v>
      </c>
      <c r="T7" s="149"/>
      <c r="U7" s="93"/>
      <c r="V7" s="147"/>
      <c r="W7" s="222"/>
      <c r="X7" s="223"/>
      <c r="Y7" s="129"/>
      <c r="Z7" s="74" t="s">
        <v>4</v>
      </c>
      <c r="AA7" s="74" t="s">
        <v>5</v>
      </c>
      <c r="AB7" s="74" t="s">
        <v>4</v>
      </c>
      <c r="AC7" s="74" t="s">
        <v>5</v>
      </c>
      <c r="AD7" s="74" t="s">
        <v>4</v>
      </c>
      <c r="AE7" s="74" t="s">
        <v>5</v>
      </c>
      <c r="AF7" s="71"/>
    </row>
    <row r="8" spans="1:32" ht="18" customHeight="1" x14ac:dyDescent="0.2">
      <c r="A8" s="34">
        <f>IF(B8="","",IF(C8&lt;&gt;"feriado",WEEKDAY(B8),8))</f>
        <v>8</v>
      </c>
      <c r="B8" s="36">
        <f>EDATE(inicio,3)</f>
        <v>45292</v>
      </c>
      <c r="C8" s="37" t="str">
        <f>IF(B8="","",IF(COUNTIF(fer,B8)&gt;0,"feriado",B8))</f>
        <v>feriado</v>
      </c>
      <c r="D8" s="138"/>
      <c r="E8" s="139"/>
      <c r="F8" s="139"/>
      <c r="G8" s="139"/>
      <c r="H8" s="139"/>
      <c r="I8" s="139"/>
      <c r="J8" s="139"/>
      <c r="K8" s="140">
        <f>IF(B8="","",ROUND(O8-N8,5))</f>
        <v>0</v>
      </c>
      <c r="L8" s="140">
        <f t="shared" ref="L8:L37" si="0">IF(B8="","",IF(AND(E8="",F8=""),0,MAX(ININOT,MIN(FIMNOT+1,AA8+(Z8&gt;AA8)))-MAX(ININOT,Z8)+(MIN(FIMNOT,AA8+(Z8&gt;AA8)))-MIN(FIMNOT,Z8))+IF(AND(G8="",H8=""),0,MAX(ININOT,MIN(FIMNOT+1,AC8+(AB8&gt;AC8)))-MAX(ININOT,AB8)+(MIN(FIMNOT,AC8+(AB8&gt;AC8))-MIN(FIMNOT,AB8)))+IF(AND(I8="",J8=""),0,MAX(ININOT,MIN(FIMNOT+1,AE8+(AD8&gt;AE8)))-MAX(ININOT,AD8)+(MIN(FIMNOT,AE8+(AD8&gt;AE8))-MIN(FIMNOT,AD8))))</f>
        <v>0</v>
      </c>
      <c r="M8" s="141">
        <f>IF(B8="","",(L8/7*8)-L8)</f>
        <v>0</v>
      </c>
      <c r="N8" s="141">
        <f>IF(B8="","",L8+M8)</f>
        <v>0</v>
      </c>
      <c r="O8" s="142">
        <f>IF(B8="","",MOD((AA8-Z8)+(AC8-AB8)+(AE8-AD8),1)+M8)</f>
        <v>0</v>
      </c>
      <c r="P8" s="134">
        <f t="shared" ref="P8:P38" si="1">IF(B8="","",IF(D8="F",$X$16,VLOOKUP(A8,jornada,3)))</f>
        <v>0.30555555555555552</v>
      </c>
      <c r="Q8" s="134" t="str">
        <f>IF(B8="","",IF(AND(D8="A",P8&gt;O8),P8-O8,""))</f>
        <v/>
      </c>
      <c r="R8" s="134">
        <f>IF(B8="","",IF(AND(O8&gt;0,D8="F"),"",IF(D8="A","",IF(O8&lt;P8,P8-O8,""))))</f>
        <v>0.30555555555555552</v>
      </c>
      <c r="S8" s="142">
        <f>IF(B8="","",IF(AND(WEEKDAY(B8,1)=7,P8=0,D8&lt;&gt;"F"),MAX(0,O8-P8),IF(P8=0,0,MAX(0,O8-P8))))</f>
        <v>0</v>
      </c>
      <c r="T8" s="148">
        <f>IF(B8="","",IF(AND(WEEKDAY(B8,1)=7,P8=0,D8&lt;&gt;"F"),0,IF(P8=0,O8,0)))</f>
        <v>0</v>
      </c>
      <c r="U8" s="104"/>
      <c r="V8" s="108">
        <v>1</v>
      </c>
      <c r="W8" s="95" t="s">
        <v>15</v>
      </c>
      <c r="X8" s="99">
        <v>0.30555555555555552</v>
      </c>
      <c r="Z8" s="125">
        <f>IF(B8="","",IF($E8="",0,TIME(INT(E8/100),MOD(E8,100),0)))</f>
        <v>0</v>
      </c>
      <c r="AA8" s="125">
        <f>IF(B8="","",IF($F8="",0,TIME(INT(F8/100),MOD(F8,100),0)))</f>
        <v>0</v>
      </c>
      <c r="AB8" s="124">
        <f>IF(B8="","",IF($G8="",0,TIME(INT(G8/100),MOD(G8,100),0)))</f>
        <v>0</v>
      </c>
      <c r="AC8" s="124">
        <f>IF(B8="","",IF($H8="",0,TIME(INT(H8/100),MOD(H8,100),0)))</f>
        <v>0</v>
      </c>
      <c r="AD8" s="124">
        <f>IF(B8="","",IF($I8="",0,TIME(INT(I8/100),MOD(I8,100),0)))</f>
        <v>0</v>
      </c>
      <c r="AE8" s="181">
        <f>IF(B8="","",IF($J8="",0,TIME(INT(J8/100),MOD(J8,100),0)))</f>
        <v>0</v>
      </c>
      <c r="AF8" s="5"/>
    </row>
    <row r="9" spans="1:32" ht="18" customHeight="1" x14ac:dyDescent="0.2">
      <c r="A9" s="34">
        <f t="shared" ref="A9:A38" si="2">IF(B9="","",IF(C9&lt;&gt;"feriado",WEEKDAY(B9),8))</f>
        <v>3</v>
      </c>
      <c r="B9" s="38">
        <f>B8+1</f>
        <v>45293</v>
      </c>
      <c r="C9" s="39">
        <f t="shared" ref="C9:C38" si="3">IF(B9="","",IF(COUNTIF(fer,B9)&gt;0,"feriado",B9))</f>
        <v>45293</v>
      </c>
      <c r="D9" s="105"/>
      <c r="E9" s="122"/>
      <c r="F9" s="122"/>
      <c r="G9" s="122"/>
      <c r="H9" s="122"/>
      <c r="I9" s="122"/>
      <c r="J9" s="122"/>
      <c r="K9" s="68">
        <f t="shared" ref="K9:K38" si="4">IF(B9="","",ROUND(O9-N9,5))</f>
        <v>0</v>
      </c>
      <c r="L9" s="140">
        <f t="shared" si="0"/>
        <v>0</v>
      </c>
      <c r="M9" s="40">
        <f t="shared" ref="M9:M38" si="5">IF(B9="","",(L9/7*8)-L9)</f>
        <v>0</v>
      </c>
      <c r="N9" s="40">
        <f t="shared" ref="N9:N38" si="6">IF(B9="","",L9+M9)</f>
        <v>0</v>
      </c>
      <c r="O9" s="142">
        <f t="shared" ref="O9:O37" si="7">IF(B9="","",MOD((AA9-Z9)+(AC9-AB9)+(AE9-AD9),1)+M9)</f>
        <v>0</v>
      </c>
      <c r="P9" s="127">
        <f t="shared" si="1"/>
        <v>0.30555555555555552</v>
      </c>
      <c r="Q9" s="134" t="str">
        <f t="shared" ref="Q9:Q38" si="8">IF(B9="","",IF(AND(D9="A",P9&gt;O9),P9-O9,""))</f>
        <v/>
      </c>
      <c r="R9" s="127">
        <f t="shared" ref="R9:R38" si="9">IF(B9="","",IF(AND(O9&gt;0,D9="F"),"",IF(D9="A","",IF(O9&lt;P9,P9-O9,""))))</f>
        <v>0.30555555555555552</v>
      </c>
      <c r="S9" s="142">
        <f t="shared" ref="S9:S37" si="10">IF(B9="","",IF(AND(WEEKDAY(B9,1)=7,P9=0,D9&lt;&gt;"F"),MAX(0,O9-P9),IF(P9=0,0,MAX(0,O9-P9))))</f>
        <v>0</v>
      </c>
      <c r="T9" s="148">
        <f t="shared" ref="T9:T37" si="11">IF(B9="","",IF(AND(WEEKDAY(B9,1)=7,P9=0,D9&lt;&gt;"F"),0,IF(P9=0,O9,0)))</f>
        <v>0</v>
      </c>
      <c r="U9" s="90"/>
      <c r="V9" s="109">
        <v>2</v>
      </c>
      <c r="W9" s="102" t="s">
        <v>16</v>
      </c>
      <c r="X9" s="100">
        <v>0.30555555555555552</v>
      </c>
      <c r="Z9" s="124">
        <f t="shared" ref="Z9:Z38" si="12">IF(B9="","",IF($E9="",0,TIME(INT(E9/100),MOD(E9,100),0)))</f>
        <v>0</v>
      </c>
      <c r="AA9" s="125">
        <f t="shared" ref="AA9:AA38" si="13">IF(B9="","",IF($F9="",0,TIME(INT(F9/100),MOD(F9,100),0)))</f>
        <v>0</v>
      </c>
      <c r="AB9" s="124">
        <f t="shared" ref="AB9:AB38" si="14">IF(B9="","",IF($G9="",0,TIME(INT(G9/100),MOD(G9,100),0)))</f>
        <v>0</v>
      </c>
      <c r="AC9" s="124">
        <f t="shared" ref="AC9:AC38" si="15">IF(B9="","",IF($H9="",0,TIME(INT(H9/100),MOD(H9,100),0)))</f>
        <v>0</v>
      </c>
      <c r="AD9" s="124">
        <f t="shared" ref="AD9:AD38" si="16">IF(B9="","",IF($I9="",0,TIME(INT(I9/100),MOD(I9,100),0)))</f>
        <v>0</v>
      </c>
      <c r="AE9" s="181">
        <f t="shared" ref="AE9:AE38" si="17">IF(B9="","",IF($J9="",0,TIME(INT(J9/100),MOD(J9,100),0)))</f>
        <v>0</v>
      </c>
      <c r="AF9" s="5"/>
    </row>
    <row r="10" spans="1:32" ht="18" customHeight="1" x14ac:dyDescent="0.2">
      <c r="A10" s="34">
        <f t="shared" si="2"/>
        <v>4</v>
      </c>
      <c r="B10" s="38">
        <f>B9+1</f>
        <v>45294</v>
      </c>
      <c r="C10" s="39">
        <f t="shared" si="3"/>
        <v>45294</v>
      </c>
      <c r="D10" s="105"/>
      <c r="E10" s="122"/>
      <c r="F10" s="122"/>
      <c r="G10" s="122"/>
      <c r="H10" s="122"/>
      <c r="I10" s="122"/>
      <c r="J10" s="122"/>
      <c r="K10" s="68">
        <f t="shared" si="4"/>
        <v>0</v>
      </c>
      <c r="L10" s="140">
        <f t="shared" si="0"/>
        <v>0</v>
      </c>
      <c r="M10" s="40">
        <f t="shared" si="5"/>
        <v>0</v>
      </c>
      <c r="N10" s="40">
        <f t="shared" si="6"/>
        <v>0</v>
      </c>
      <c r="O10" s="142">
        <f t="shared" si="7"/>
        <v>0</v>
      </c>
      <c r="P10" s="127">
        <f t="shared" si="1"/>
        <v>0.30555555555555552</v>
      </c>
      <c r="Q10" s="134" t="str">
        <f t="shared" si="8"/>
        <v/>
      </c>
      <c r="R10" s="127">
        <f t="shared" si="9"/>
        <v>0.30555555555555552</v>
      </c>
      <c r="S10" s="142">
        <f t="shared" si="10"/>
        <v>0</v>
      </c>
      <c r="T10" s="148">
        <f t="shared" si="11"/>
        <v>0</v>
      </c>
      <c r="U10" s="90"/>
      <c r="V10" s="109">
        <v>3</v>
      </c>
      <c r="W10" s="96" t="s">
        <v>17</v>
      </c>
      <c r="X10" s="100">
        <v>0.30555555555555552</v>
      </c>
      <c r="Z10" s="124">
        <f t="shared" si="12"/>
        <v>0</v>
      </c>
      <c r="AA10" s="125">
        <f t="shared" si="13"/>
        <v>0</v>
      </c>
      <c r="AB10" s="124">
        <f t="shared" si="14"/>
        <v>0</v>
      </c>
      <c r="AC10" s="124">
        <f t="shared" si="15"/>
        <v>0</v>
      </c>
      <c r="AD10" s="124">
        <f t="shared" si="16"/>
        <v>0</v>
      </c>
      <c r="AE10" s="181">
        <f t="shared" si="17"/>
        <v>0</v>
      </c>
      <c r="AF10" s="5"/>
    </row>
    <row r="11" spans="1:32" ht="18" customHeight="1" x14ac:dyDescent="0.2">
      <c r="A11" s="34">
        <f t="shared" si="2"/>
        <v>5</v>
      </c>
      <c r="B11" s="38">
        <f>B10+1</f>
        <v>45295</v>
      </c>
      <c r="C11" s="39">
        <f t="shared" si="3"/>
        <v>45295</v>
      </c>
      <c r="D11" s="105"/>
      <c r="E11" s="122"/>
      <c r="F11" s="122"/>
      <c r="G11" s="122"/>
      <c r="H11" s="122"/>
      <c r="I11" s="122"/>
      <c r="J11" s="122"/>
      <c r="K11" s="68">
        <f t="shared" si="4"/>
        <v>0</v>
      </c>
      <c r="L11" s="140">
        <f t="shared" si="0"/>
        <v>0</v>
      </c>
      <c r="M11" s="40">
        <f t="shared" si="5"/>
        <v>0</v>
      </c>
      <c r="N11" s="40">
        <f t="shared" si="6"/>
        <v>0</v>
      </c>
      <c r="O11" s="142">
        <f t="shared" si="7"/>
        <v>0</v>
      </c>
      <c r="P11" s="127">
        <f t="shared" si="1"/>
        <v>0.30555555555555552</v>
      </c>
      <c r="Q11" s="134" t="str">
        <f t="shared" si="8"/>
        <v/>
      </c>
      <c r="R11" s="127">
        <f t="shared" si="9"/>
        <v>0.30555555555555552</v>
      </c>
      <c r="S11" s="142">
        <f t="shared" si="10"/>
        <v>0</v>
      </c>
      <c r="T11" s="148">
        <f t="shared" si="11"/>
        <v>0</v>
      </c>
      <c r="U11" s="90"/>
      <c r="V11" s="109">
        <v>4</v>
      </c>
      <c r="W11" s="96" t="s">
        <v>18</v>
      </c>
      <c r="X11" s="100">
        <v>0.30555555555555552</v>
      </c>
      <c r="Z11" s="124">
        <f t="shared" si="12"/>
        <v>0</v>
      </c>
      <c r="AA11" s="125">
        <f t="shared" si="13"/>
        <v>0</v>
      </c>
      <c r="AB11" s="124">
        <f t="shared" si="14"/>
        <v>0</v>
      </c>
      <c r="AC11" s="124">
        <f t="shared" si="15"/>
        <v>0</v>
      </c>
      <c r="AD11" s="124">
        <f t="shared" si="16"/>
        <v>0</v>
      </c>
      <c r="AE11" s="181">
        <f t="shared" si="17"/>
        <v>0</v>
      </c>
      <c r="AF11" s="5"/>
    </row>
    <row r="12" spans="1:32" ht="18" customHeight="1" x14ac:dyDescent="0.2">
      <c r="A12" s="34">
        <f t="shared" si="2"/>
        <v>6</v>
      </c>
      <c r="B12" s="38">
        <f>B11+1</f>
        <v>45296</v>
      </c>
      <c r="C12" s="39">
        <f t="shared" si="3"/>
        <v>45296</v>
      </c>
      <c r="D12" s="105"/>
      <c r="E12" s="122"/>
      <c r="F12" s="122"/>
      <c r="G12" s="122"/>
      <c r="H12" s="122"/>
      <c r="I12" s="122"/>
      <c r="J12" s="122"/>
      <c r="K12" s="68">
        <f t="shared" si="4"/>
        <v>0</v>
      </c>
      <c r="L12" s="140">
        <f t="shared" si="0"/>
        <v>0</v>
      </c>
      <c r="M12" s="40">
        <f t="shared" si="5"/>
        <v>0</v>
      </c>
      <c r="N12" s="40">
        <f t="shared" si="6"/>
        <v>0</v>
      </c>
      <c r="O12" s="142">
        <f t="shared" si="7"/>
        <v>0</v>
      </c>
      <c r="P12" s="127">
        <f t="shared" si="1"/>
        <v>0.30555555555555552</v>
      </c>
      <c r="Q12" s="134" t="str">
        <f t="shared" si="8"/>
        <v/>
      </c>
      <c r="R12" s="127">
        <f t="shared" si="9"/>
        <v>0.30555555555555552</v>
      </c>
      <c r="S12" s="142">
        <f t="shared" si="10"/>
        <v>0</v>
      </c>
      <c r="T12" s="148">
        <f t="shared" si="11"/>
        <v>0</v>
      </c>
      <c r="U12" s="90"/>
      <c r="V12" s="109">
        <v>5</v>
      </c>
      <c r="W12" s="96" t="s">
        <v>19</v>
      </c>
      <c r="X12" s="100">
        <v>0.30555555555555552</v>
      </c>
      <c r="Z12" s="124">
        <f t="shared" si="12"/>
        <v>0</v>
      </c>
      <c r="AA12" s="125">
        <f t="shared" si="13"/>
        <v>0</v>
      </c>
      <c r="AB12" s="124">
        <f t="shared" si="14"/>
        <v>0</v>
      </c>
      <c r="AC12" s="124">
        <f t="shared" si="15"/>
        <v>0</v>
      </c>
      <c r="AD12" s="124">
        <f t="shared" si="16"/>
        <v>0</v>
      </c>
      <c r="AE12" s="181">
        <f t="shared" si="17"/>
        <v>0</v>
      </c>
      <c r="AF12" s="5"/>
    </row>
    <row r="13" spans="1:32" ht="18" customHeight="1" x14ac:dyDescent="0.2">
      <c r="A13" s="34">
        <f t="shared" si="2"/>
        <v>7</v>
      </c>
      <c r="B13" s="38">
        <f t="shared" ref="B13:B35" si="18">B12+1</f>
        <v>45297</v>
      </c>
      <c r="C13" s="39">
        <f t="shared" si="3"/>
        <v>45297</v>
      </c>
      <c r="D13" s="105"/>
      <c r="E13" s="122"/>
      <c r="F13" s="122"/>
      <c r="G13" s="122"/>
      <c r="H13" s="122"/>
      <c r="I13" s="122"/>
      <c r="J13" s="122"/>
      <c r="K13" s="68">
        <f t="shared" si="4"/>
        <v>0</v>
      </c>
      <c r="L13" s="140">
        <f t="shared" si="0"/>
        <v>0</v>
      </c>
      <c r="M13" s="40">
        <f t="shared" si="5"/>
        <v>0</v>
      </c>
      <c r="N13" s="40">
        <f t="shared" si="6"/>
        <v>0</v>
      </c>
      <c r="O13" s="142">
        <f t="shared" si="7"/>
        <v>0</v>
      </c>
      <c r="P13" s="127">
        <f t="shared" si="1"/>
        <v>0.30555555555555552</v>
      </c>
      <c r="Q13" s="134" t="str">
        <f t="shared" si="8"/>
        <v/>
      </c>
      <c r="R13" s="127">
        <f t="shared" si="9"/>
        <v>0.30555555555555552</v>
      </c>
      <c r="S13" s="142">
        <f t="shared" si="10"/>
        <v>0</v>
      </c>
      <c r="T13" s="148">
        <f t="shared" si="11"/>
        <v>0</v>
      </c>
      <c r="U13" s="90"/>
      <c r="V13" s="109">
        <v>6</v>
      </c>
      <c r="W13" s="96" t="s">
        <v>20</v>
      </c>
      <c r="X13" s="100">
        <v>0.30555555555555552</v>
      </c>
      <c r="Z13" s="124">
        <f t="shared" si="12"/>
        <v>0</v>
      </c>
      <c r="AA13" s="125">
        <f t="shared" si="13"/>
        <v>0</v>
      </c>
      <c r="AB13" s="124">
        <f t="shared" si="14"/>
        <v>0</v>
      </c>
      <c r="AC13" s="124">
        <f t="shared" si="15"/>
        <v>0</v>
      </c>
      <c r="AD13" s="124">
        <f t="shared" si="16"/>
        <v>0</v>
      </c>
      <c r="AE13" s="181">
        <f t="shared" si="17"/>
        <v>0</v>
      </c>
      <c r="AF13" s="5"/>
    </row>
    <row r="14" spans="1:32" ht="18" customHeight="1" x14ac:dyDescent="0.2">
      <c r="A14" s="34">
        <f t="shared" si="2"/>
        <v>1</v>
      </c>
      <c r="B14" s="38">
        <f t="shared" si="18"/>
        <v>45298</v>
      </c>
      <c r="C14" s="39">
        <f t="shared" si="3"/>
        <v>45298</v>
      </c>
      <c r="D14" s="105"/>
      <c r="E14" s="122"/>
      <c r="F14" s="122"/>
      <c r="G14" s="122"/>
      <c r="H14" s="122"/>
      <c r="I14" s="122"/>
      <c r="J14" s="122"/>
      <c r="K14" s="68">
        <f t="shared" si="4"/>
        <v>0</v>
      </c>
      <c r="L14" s="140">
        <f t="shared" si="0"/>
        <v>0</v>
      </c>
      <c r="M14" s="40">
        <f t="shared" si="5"/>
        <v>0</v>
      </c>
      <c r="N14" s="40">
        <f t="shared" si="6"/>
        <v>0</v>
      </c>
      <c r="O14" s="142">
        <f t="shared" si="7"/>
        <v>0</v>
      </c>
      <c r="P14" s="127">
        <f t="shared" si="1"/>
        <v>0.30555555555555552</v>
      </c>
      <c r="Q14" s="134" t="str">
        <f t="shared" si="8"/>
        <v/>
      </c>
      <c r="R14" s="127">
        <f t="shared" si="9"/>
        <v>0.30555555555555552</v>
      </c>
      <c r="S14" s="142">
        <f t="shared" si="10"/>
        <v>0</v>
      </c>
      <c r="T14" s="148">
        <f t="shared" si="11"/>
        <v>0</v>
      </c>
      <c r="U14" s="90"/>
      <c r="V14" s="109">
        <v>7</v>
      </c>
      <c r="W14" s="103" t="s">
        <v>21</v>
      </c>
      <c r="X14" s="100">
        <v>0.30555555555555552</v>
      </c>
      <c r="Z14" s="124">
        <f t="shared" si="12"/>
        <v>0</v>
      </c>
      <c r="AA14" s="125">
        <f t="shared" si="13"/>
        <v>0</v>
      </c>
      <c r="AB14" s="124">
        <f t="shared" si="14"/>
        <v>0</v>
      </c>
      <c r="AC14" s="124">
        <f t="shared" si="15"/>
        <v>0</v>
      </c>
      <c r="AD14" s="124">
        <f t="shared" si="16"/>
        <v>0</v>
      </c>
      <c r="AE14" s="181">
        <f t="shared" si="17"/>
        <v>0</v>
      </c>
      <c r="AF14" s="5"/>
    </row>
    <row r="15" spans="1:32" ht="18" customHeight="1" x14ac:dyDescent="0.2">
      <c r="A15" s="34">
        <f t="shared" si="2"/>
        <v>2</v>
      </c>
      <c r="B15" s="38">
        <f t="shared" si="18"/>
        <v>45299</v>
      </c>
      <c r="C15" s="39">
        <f t="shared" si="3"/>
        <v>45299</v>
      </c>
      <c r="D15" s="105"/>
      <c r="E15" s="122"/>
      <c r="F15" s="122"/>
      <c r="G15" s="122"/>
      <c r="H15" s="122"/>
      <c r="I15" s="122"/>
      <c r="J15" s="122"/>
      <c r="K15" s="68">
        <f t="shared" si="4"/>
        <v>0</v>
      </c>
      <c r="L15" s="140">
        <f t="shared" si="0"/>
        <v>0</v>
      </c>
      <c r="M15" s="40">
        <f t="shared" si="5"/>
        <v>0</v>
      </c>
      <c r="N15" s="40">
        <f t="shared" si="6"/>
        <v>0</v>
      </c>
      <c r="O15" s="142">
        <f t="shared" si="7"/>
        <v>0</v>
      </c>
      <c r="P15" s="127">
        <f t="shared" si="1"/>
        <v>0.30555555555555552</v>
      </c>
      <c r="Q15" s="134" t="str">
        <f t="shared" si="8"/>
        <v/>
      </c>
      <c r="R15" s="127">
        <f t="shared" si="9"/>
        <v>0.30555555555555552</v>
      </c>
      <c r="S15" s="142">
        <f t="shared" si="10"/>
        <v>0</v>
      </c>
      <c r="T15" s="148">
        <f t="shared" si="11"/>
        <v>0</v>
      </c>
      <c r="U15" s="90"/>
      <c r="V15" s="109">
        <v>8</v>
      </c>
      <c r="W15" s="97" t="s">
        <v>22</v>
      </c>
      <c r="X15" s="101">
        <v>0.30555555555555552</v>
      </c>
      <c r="Z15" s="124">
        <f t="shared" si="12"/>
        <v>0</v>
      </c>
      <c r="AA15" s="125">
        <f t="shared" si="13"/>
        <v>0</v>
      </c>
      <c r="AB15" s="124">
        <f t="shared" si="14"/>
        <v>0</v>
      </c>
      <c r="AC15" s="124">
        <f t="shared" si="15"/>
        <v>0</v>
      </c>
      <c r="AD15" s="124">
        <f t="shared" si="16"/>
        <v>0</v>
      </c>
      <c r="AE15" s="181">
        <f t="shared" si="17"/>
        <v>0</v>
      </c>
      <c r="AF15" s="5"/>
    </row>
    <row r="16" spans="1:32" ht="18" customHeight="1" x14ac:dyDescent="0.2">
      <c r="A16" s="34">
        <f t="shared" si="2"/>
        <v>3</v>
      </c>
      <c r="B16" s="38">
        <f t="shared" si="18"/>
        <v>45300</v>
      </c>
      <c r="C16" s="39">
        <f t="shared" si="3"/>
        <v>45300</v>
      </c>
      <c r="D16" s="105"/>
      <c r="E16" s="122"/>
      <c r="F16" s="122"/>
      <c r="G16" s="122"/>
      <c r="H16" s="122"/>
      <c r="I16" s="122"/>
      <c r="J16" s="122"/>
      <c r="K16" s="68">
        <f t="shared" si="4"/>
        <v>0</v>
      </c>
      <c r="L16" s="140">
        <f t="shared" si="0"/>
        <v>0</v>
      </c>
      <c r="M16" s="40">
        <f t="shared" si="5"/>
        <v>0</v>
      </c>
      <c r="N16" s="40">
        <f t="shared" si="6"/>
        <v>0</v>
      </c>
      <c r="O16" s="142">
        <f t="shared" si="7"/>
        <v>0</v>
      </c>
      <c r="P16" s="127">
        <f t="shared" si="1"/>
        <v>0.30555555555555552</v>
      </c>
      <c r="Q16" s="134" t="str">
        <f t="shared" si="8"/>
        <v/>
      </c>
      <c r="R16" s="127">
        <f t="shared" si="9"/>
        <v>0.30555555555555552</v>
      </c>
      <c r="S16" s="142">
        <f t="shared" si="10"/>
        <v>0</v>
      </c>
      <c r="T16" s="148">
        <f t="shared" si="11"/>
        <v>0</v>
      </c>
      <c r="U16" s="90"/>
      <c r="V16" s="90"/>
      <c r="W16" s="98" t="s">
        <v>3</v>
      </c>
      <c r="X16" s="94">
        <v>0</v>
      </c>
      <c r="Z16" s="124">
        <f t="shared" si="12"/>
        <v>0</v>
      </c>
      <c r="AA16" s="125">
        <f t="shared" si="13"/>
        <v>0</v>
      </c>
      <c r="AB16" s="124">
        <f t="shared" si="14"/>
        <v>0</v>
      </c>
      <c r="AC16" s="124">
        <f t="shared" si="15"/>
        <v>0</v>
      </c>
      <c r="AD16" s="124">
        <f t="shared" si="16"/>
        <v>0</v>
      </c>
      <c r="AE16" s="181">
        <f t="shared" si="17"/>
        <v>0</v>
      </c>
      <c r="AF16" s="5"/>
    </row>
    <row r="17" spans="1:32" ht="18" customHeight="1" x14ac:dyDescent="0.2">
      <c r="A17" s="34">
        <f t="shared" si="2"/>
        <v>4</v>
      </c>
      <c r="B17" s="38">
        <f t="shared" si="18"/>
        <v>45301</v>
      </c>
      <c r="C17" s="39">
        <f t="shared" si="3"/>
        <v>45301</v>
      </c>
      <c r="D17" s="105"/>
      <c r="E17" s="122"/>
      <c r="F17" s="122"/>
      <c r="G17" s="122"/>
      <c r="H17" s="122"/>
      <c r="I17" s="122"/>
      <c r="J17" s="122"/>
      <c r="K17" s="68">
        <f t="shared" si="4"/>
        <v>0</v>
      </c>
      <c r="L17" s="140">
        <f t="shared" si="0"/>
        <v>0</v>
      </c>
      <c r="M17" s="40">
        <f t="shared" si="5"/>
        <v>0</v>
      </c>
      <c r="N17" s="40">
        <f t="shared" si="6"/>
        <v>0</v>
      </c>
      <c r="O17" s="142">
        <f t="shared" si="7"/>
        <v>0</v>
      </c>
      <c r="P17" s="127">
        <f t="shared" si="1"/>
        <v>0.30555555555555552</v>
      </c>
      <c r="Q17" s="134" t="str">
        <f t="shared" si="8"/>
        <v/>
      </c>
      <c r="R17" s="127">
        <f t="shared" si="9"/>
        <v>0.30555555555555552</v>
      </c>
      <c r="S17" s="142">
        <f t="shared" si="10"/>
        <v>0</v>
      </c>
      <c r="T17" s="148">
        <f t="shared" si="11"/>
        <v>0</v>
      </c>
      <c r="U17" s="90"/>
      <c r="V17" s="90"/>
      <c r="W17" s="209" t="s">
        <v>23</v>
      </c>
      <c r="X17" s="210"/>
      <c r="Z17" s="124">
        <f t="shared" si="12"/>
        <v>0</v>
      </c>
      <c r="AA17" s="125">
        <f t="shared" si="13"/>
        <v>0</v>
      </c>
      <c r="AB17" s="124">
        <f t="shared" si="14"/>
        <v>0</v>
      </c>
      <c r="AC17" s="124">
        <f t="shared" si="15"/>
        <v>0</v>
      </c>
      <c r="AD17" s="124">
        <f t="shared" si="16"/>
        <v>0</v>
      </c>
      <c r="AE17" s="181">
        <f t="shared" si="17"/>
        <v>0</v>
      </c>
      <c r="AF17" s="5"/>
    </row>
    <row r="18" spans="1:32" ht="18" customHeight="1" x14ac:dyDescent="0.2">
      <c r="A18" s="34">
        <f t="shared" si="2"/>
        <v>5</v>
      </c>
      <c r="B18" s="38">
        <f t="shared" si="18"/>
        <v>45302</v>
      </c>
      <c r="C18" s="39">
        <f t="shared" si="3"/>
        <v>45302</v>
      </c>
      <c r="D18" s="105"/>
      <c r="E18" s="122"/>
      <c r="F18" s="122"/>
      <c r="G18" s="122"/>
      <c r="H18" s="122"/>
      <c r="I18" s="122"/>
      <c r="J18" s="122"/>
      <c r="K18" s="68">
        <f t="shared" si="4"/>
        <v>0</v>
      </c>
      <c r="L18" s="140">
        <f t="shared" si="0"/>
        <v>0</v>
      </c>
      <c r="M18" s="40">
        <f t="shared" si="5"/>
        <v>0</v>
      </c>
      <c r="N18" s="40">
        <f t="shared" si="6"/>
        <v>0</v>
      </c>
      <c r="O18" s="142">
        <f t="shared" si="7"/>
        <v>0</v>
      </c>
      <c r="P18" s="127">
        <f t="shared" si="1"/>
        <v>0.30555555555555552</v>
      </c>
      <c r="Q18" s="134" t="str">
        <f t="shared" si="8"/>
        <v/>
      </c>
      <c r="R18" s="127">
        <f t="shared" si="9"/>
        <v>0.30555555555555552</v>
      </c>
      <c r="S18" s="142">
        <f t="shared" si="10"/>
        <v>0</v>
      </c>
      <c r="T18" s="148">
        <f t="shared" si="11"/>
        <v>0</v>
      </c>
      <c r="U18" s="90"/>
      <c r="V18" s="90"/>
      <c r="W18" s="111" t="s">
        <v>24</v>
      </c>
      <c r="X18" s="99">
        <f>ININOT</f>
        <v>0.91666666666666663</v>
      </c>
      <c r="Z18" s="124">
        <f t="shared" si="12"/>
        <v>0</v>
      </c>
      <c r="AA18" s="125">
        <f t="shared" si="13"/>
        <v>0</v>
      </c>
      <c r="AB18" s="124">
        <f t="shared" si="14"/>
        <v>0</v>
      </c>
      <c r="AC18" s="124">
        <f t="shared" si="15"/>
        <v>0</v>
      </c>
      <c r="AD18" s="124">
        <f t="shared" si="16"/>
        <v>0</v>
      </c>
      <c r="AE18" s="181">
        <f t="shared" si="17"/>
        <v>0</v>
      </c>
      <c r="AF18" s="5"/>
    </row>
    <row r="19" spans="1:32" ht="18" customHeight="1" x14ac:dyDescent="0.2">
      <c r="A19" s="34">
        <f t="shared" si="2"/>
        <v>6</v>
      </c>
      <c r="B19" s="38">
        <f t="shared" si="18"/>
        <v>45303</v>
      </c>
      <c r="C19" s="39">
        <f t="shared" si="3"/>
        <v>45303</v>
      </c>
      <c r="D19" s="105"/>
      <c r="E19" s="122"/>
      <c r="F19" s="122"/>
      <c r="G19" s="122"/>
      <c r="H19" s="122"/>
      <c r="I19" s="122"/>
      <c r="J19" s="122"/>
      <c r="K19" s="68">
        <f t="shared" si="4"/>
        <v>0</v>
      </c>
      <c r="L19" s="140">
        <f t="shared" si="0"/>
        <v>0</v>
      </c>
      <c r="M19" s="40">
        <f t="shared" si="5"/>
        <v>0</v>
      </c>
      <c r="N19" s="40">
        <f t="shared" si="6"/>
        <v>0</v>
      </c>
      <c r="O19" s="142">
        <f t="shared" si="7"/>
        <v>0</v>
      </c>
      <c r="P19" s="127">
        <f t="shared" si="1"/>
        <v>0.30555555555555552</v>
      </c>
      <c r="Q19" s="134" t="str">
        <f t="shared" si="8"/>
        <v/>
      </c>
      <c r="R19" s="127">
        <f t="shared" si="9"/>
        <v>0.30555555555555552</v>
      </c>
      <c r="S19" s="142">
        <f t="shared" si="10"/>
        <v>0</v>
      </c>
      <c r="T19" s="148">
        <f t="shared" si="11"/>
        <v>0</v>
      </c>
      <c r="U19" s="90"/>
      <c r="V19" s="90"/>
      <c r="W19" s="112" t="s">
        <v>25</v>
      </c>
      <c r="X19" s="101">
        <f>FIMNOT</f>
        <v>0.20833333333333334</v>
      </c>
      <c r="Z19" s="124">
        <f t="shared" si="12"/>
        <v>0</v>
      </c>
      <c r="AA19" s="125">
        <f t="shared" si="13"/>
        <v>0</v>
      </c>
      <c r="AB19" s="124">
        <f t="shared" si="14"/>
        <v>0</v>
      </c>
      <c r="AC19" s="124">
        <f t="shared" si="15"/>
        <v>0</v>
      </c>
      <c r="AD19" s="124">
        <f t="shared" si="16"/>
        <v>0</v>
      </c>
      <c r="AE19" s="181">
        <f t="shared" si="17"/>
        <v>0</v>
      </c>
      <c r="AF19" s="7"/>
    </row>
    <row r="20" spans="1:32" ht="18" customHeight="1" x14ac:dyDescent="0.2">
      <c r="A20" s="34">
        <f t="shared" si="2"/>
        <v>7</v>
      </c>
      <c r="B20" s="38">
        <f t="shared" si="18"/>
        <v>45304</v>
      </c>
      <c r="C20" s="39">
        <f t="shared" si="3"/>
        <v>45304</v>
      </c>
      <c r="D20" s="105"/>
      <c r="E20" s="122"/>
      <c r="F20" s="122"/>
      <c r="G20" s="122"/>
      <c r="H20" s="122"/>
      <c r="I20" s="122"/>
      <c r="J20" s="122"/>
      <c r="K20" s="68">
        <f t="shared" si="4"/>
        <v>0</v>
      </c>
      <c r="L20" s="140">
        <f t="shared" si="0"/>
        <v>0</v>
      </c>
      <c r="M20" s="40">
        <f t="shared" si="5"/>
        <v>0</v>
      </c>
      <c r="N20" s="40">
        <f t="shared" si="6"/>
        <v>0</v>
      </c>
      <c r="O20" s="142">
        <f t="shared" si="7"/>
        <v>0</v>
      </c>
      <c r="P20" s="127">
        <f t="shared" si="1"/>
        <v>0.30555555555555552</v>
      </c>
      <c r="Q20" s="134" t="str">
        <f t="shared" si="8"/>
        <v/>
      </c>
      <c r="R20" s="127">
        <f t="shared" si="9"/>
        <v>0.30555555555555552</v>
      </c>
      <c r="S20" s="142">
        <f t="shared" si="10"/>
        <v>0</v>
      </c>
      <c r="T20" s="148">
        <f t="shared" si="11"/>
        <v>0</v>
      </c>
      <c r="U20" s="90"/>
      <c r="V20" s="90"/>
      <c r="W20" s="209" t="s">
        <v>26</v>
      </c>
      <c r="X20" s="210"/>
      <c r="Z20" s="124">
        <f t="shared" si="12"/>
        <v>0</v>
      </c>
      <c r="AA20" s="125">
        <f t="shared" si="13"/>
        <v>0</v>
      </c>
      <c r="AB20" s="124">
        <f t="shared" si="14"/>
        <v>0</v>
      </c>
      <c r="AC20" s="124">
        <f t="shared" si="15"/>
        <v>0</v>
      </c>
      <c r="AD20" s="124">
        <f t="shared" si="16"/>
        <v>0</v>
      </c>
      <c r="AE20" s="181">
        <f t="shared" si="17"/>
        <v>0</v>
      </c>
      <c r="AF20" s="5"/>
    </row>
    <row r="21" spans="1:32" ht="18" customHeight="1" x14ac:dyDescent="0.2">
      <c r="A21" s="34">
        <f t="shared" si="2"/>
        <v>1</v>
      </c>
      <c r="B21" s="38">
        <f t="shared" si="18"/>
        <v>45305</v>
      </c>
      <c r="C21" s="39">
        <f t="shared" si="3"/>
        <v>45305</v>
      </c>
      <c r="D21" s="105"/>
      <c r="E21" s="122"/>
      <c r="F21" s="122"/>
      <c r="G21" s="122"/>
      <c r="H21" s="122"/>
      <c r="I21" s="122"/>
      <c r="J21" s="122"/>
      <c r="K21" s="68">
        <f t="shared" si="4"/>
        <v>0</v>
      </c>
      <c r="L21" s="140">
        <f t="shared" si="0"/>
        <v>0</v>
      </c>
      <c r="M21" s="40">
        <f t="shared" si="5"/>
        <v>0</v>
      </c>
      <c r="N21" s="40">
        <f t="shared" si="6"/>
        <v>0</v>
      </c>
      <c r="O21" s="142">
        <f t="shared" si="7"/>
        <v>0</v>
      </c>
      <c r="P21" s="127">
        <f t="shared" si="1"/>
        <v>0.30555555555555552</v>
      </c>
      <c r="Q21" s="134" t="str">
        <f t="shared" si="8"/>
        <v/>
      </c>
      <c r="R21" s="127">
        <f t="shared" si="9"/>
        <v>0.30555555555555552</v>
      </c>
      <c r="S21" s="142">
        <f t="shared" si="10"/>
        <v>0</v>
      </c>
      <c r="T21" s="148">
        <f t="shared" si="11"/>
        <v>0</v>
      </c>
      <c r="U21" s="90"/>
      <c r="V21" s="90"/>
      <c r="W21" s="113" t="s">
        <v>27</v>
      </c>
      <c r="X21" s="184" t="str">
        <f>IF(dia_f="","",dia_f)</f>
        <v/>
      </c>
      <c r="Z21" s="124">
        <f t="shared" si="12"/>
        <v>0</v>
      </c>
      <c r="AA21" s="125">
        <f t="shared" si="13"/>
        <v>0</v>
      </c>
      <c r="AB21" s="124">
        <f t="shared" si="14"/>
        <v>0</v>
      </c>
      <c r="AC21" s="124">
        <f t="shared" si="15"/>
        <v>0</v>
      </c>
      <c r="AD21" s="124">
        <f t="shared" si="16"/>
        <v>0</v>
      </c>
      <c r="AE21" s="181">
        <f t="shared" si="17"/>
        <v>0</v>
      </c>
    </row>
    <row r="22" spans="1:32" ht="18" customHeight="1" x14ac:dyDescent="0.25">
      <c r="A22" s="34">
        <f t="shared" si="2"/>
        <v>2</v>
      </c>
      <c r="B22" s="38">
        <f t="shared" si="18"/>
        <v>45306</v>
      </c>
      <c r="C22" s="39">
        <f t="shared" si="3"/>
        <v>45306</v>
      </c>
      <c r="D22" s="105"/>
      <c r="E22" s="122"/>
      <c r="F22" s="122"/>
      <c r="G22" s="122"/>
      <c r="H22" s="122"/>
      <c r="I22" s="122"/>
      <c r="J22" s="122"/>
      <c r="K22" s="68">
        <f t="shared" si="4"/>
        <v>0</v>
      </c>
      <c r="L22" s="140">
        <f t="shared" si="0"/>
        <v>0</v>
      </c>
      <c r="M22" s="40">
        <f t="shared" si="5"/>
        <v>0</v>
      </c>
      <c r="N22" s="40">
        <f t="shared" si="6"/>
        <v>0</v>
      </c>
      <c r="O22" s="142">
        <f t="shared" si="7"/>
        <v>0</v>
      </c>
      <c r="P22" s="127">
        <f t="shared" si="1"/>
        <v>0.30555555555555552</v>
      </c>
      <c r="Q22" s="134" t="str">
        <f t="shared" si="8"/>
        <v/>
      </c>
      <c r="R22" s="127">
        <f t="shared" si="9"/>
        <v>0.30555555555555552</v>
      </c>
      <c r="S22" s="142">
        <f t="shared" si="10"/>
        <v>0</v>
      </c>
      <c r="T22" s="148">
        <f t="shared" si="11"/>
        <v>0</v>
      </c>
      <c r="U22" s="90"/>
      <c r="V22" s="90"/>
      <c r="W22" s="173"/>
      <c r="X22" s="174"/>
      <c r="Z22" s="124">
        <f t="shared" si="12"/>
        <v>0</v>
      </c>
      <c r="AA22" s="125">
        <f t="shared" si="13"/>
        <v>0</v>
      </c>
      <c r="AB22" s="124">
        <f t="shared" si="14"/>
        <v>0</v>
      </c>
      <c r="AC22" s="124">
        <f t="shared" si="15"/>
        <v>0</v>
      </c>
      <c r="AD22" s="124">
        <f t="shared" si="16"/>
        <v>0</v>
      </c>
      <c r="AE22" s="181">
        <f t="shared" si="17"/>
        <v>0</v>
      </c>
    </row>
    <row r="23" spans="1:32" ht="18" customHeight="1" x14ac:dyDescent="0.25">
      <c r="A23" s="34">
        <f t="shared" si="2"/>
        <v>3</v>
      </c>
      <c r="B23" s="38">
        <f t="shared" si="18"/>
        <v>45307</v>
      </c>
      <c r="C23" s="39">
        <f t="shared" si="3"/>
        <v>45307</v>
      </c>
      <c r="D23" s="105"/>
      <c r="E23" s="122"/>
      <c r="F23" s="122"/>
      <c r="G23" s="122"/>
      <c r="H23" s="122"/>
      <c r="I23" s="122"/>
      <c r="J23" s="122"/>
      <c r="K23" s="68">
        <f t="shared" si="4"/>
        <v>0</v>
      </c>
      <c r="L23" s="140">
        <f t="shared" si="0"/>
        <v>0</v>
      </c>
      <c r="M23" s="40">
        <f t="shared" si="5"/>
        <v>0</v>
      </c>
      <c r="N23" s="40">
        <f t="shared" si="6"/>
        <v>0</v>
      </c>
      <c r="O23" s="142">
        <f t="shared" si="7"/>
        <v>0</v>
      </c>
      <c r="P23" s="127">
        <f t="shared" si="1"/>
        <v>0.30555555555555552</v>
      </c>
      <c r="Q23" s="134" t="str">
        <f t="shared" si="8"/>
        <v/>
      </c>
      <c r="R23" s="127">
        <f t="shared" si="9"/>
        <v>0.30555555555555552</v>
      </c>
      <c r="S23" s="142">
        <f t="shared" si="10"/>
        <v>0</v>
      </c>
      <c r="T23" s="148">
        <f t="shared" si="11"/>
        <v>0</v>
      </c>
      <c r="U23" s="90"/>
      <c r="V23" s="90"/>
      <c r="W23" s="175"/>
      <c r="X23" s="176"/>
      <c r="Z23" s="124">
        <f t="shared" si="12"/>
        <v>0</v>
      </c>
      <c r="AA23" s="125">
        <f t="shared" si="13"/>
        <v>0</v>
      </c>
      <c r="AB23" s="124">
        <f t="shared" si="14"/>
        <v>0</v>
      </c>
      <c r="AC23" s="124">
        <f t="shared" si="15"/>
        <v>0</v>
      </c>
      <c r="AD23" s="124">
        <f t="shared" si="16"/>
        <v>0</v>
      </c>
      <c r="AE23" s="181">
        <f t="shared" si="17"/>
        <v>0</v>
      </c>
      <c r="AF23" s="4"/>
    </row>
    <row r="24" spans="1:32" ht="18" customHeight="1" x14ac:dyDescent="0.2">
      <c r="A24" s="34">
        <f t="shared" si="2"/>
        <v>4</v>
      </c>
      <c r="B24" s="38">
        <f t="shared" si="18"/>
        <v>45308</v>
      </c>
      <c r="C24" s="39">
        <f t="shared" si="3"/>
        <v>45308</v>
      </c>
      <c r="D24" s="105"/>
      <c r="E24" s="122"/>
      <c r="F24" s="122"/>
      <c r="G24" s="122"/>
      <c r="H24" s="122"/>
      <c r="I24" s="122"/>
      <c r="J24" s="122"/>
      <c r="K24" s="68">
        <f t="shared" si="4"/>
        <v>0</v>
      </c>
      <c r="L24" s="140">
        <f t="shared" si="0"/>
        <v>0</v>
      </c>
      <c r="M24" s="40">
        <f t="shared" si="5"/>
        <v>0</v>
      </c>
      <c r="N24" s="40">
        <f t="shared" si="6"/>
        <v>0</v>
      </c>
      <c r="O24" s="142">
        <f t="shared" si="7"/>
        <v>0</v>
      </c>
      <c r="P24" s="127">
        <f t="shared" si="1"/>
        <v>0.30555555555555552</v>
      </c>
      <c r="Q24" s="134" t="str">
        <f t="shared" si="8"/>
        <v/>
      </c>
      <c r="R24" s="127">
        <f t="shared" si="9"/>
        <v>0.30555555555555552</v>
      </c>
      <c r="S24" s="142">
        <f t="shared" si="10"/>
        <v>0</v>
      </c>
      <c r="T24" s="148">
        <f t="shared" si="11"/>
        <v>0</v>
      </c>
      <c r="U24" s="90"/>
      <c r="V24" s="90"/>
      <c r="W24" s="150"/>
      <c r="X24" s="90"/>
      <c r="Z24" s="124">
        <f t="shared" si="12"/>
        <v>0</v>
      </c>
      <c r="AA24" s="125">
        <f t="shared" si="13"/>
        <v>0</v>
      </c>
      <c r="AB24" s="124">
        <f t="shared" si="14"/>
        <v>0</v>
      </c>
      <c r="AC24" s="124">
        <f t="shared" si="15"/>
        <v>0</v>
      </c>
      <c r="AD24" s="124">
        <f t="shared" si="16"/>
        <v>0</v>
      </c>
      <c r="AE24" s="181">
        <f t="shared" si="17"/>
        <v>0</v>
      </c>
    </row>
    <row r="25" spans="1:32" ht="18" customHeight="1" x14ac:dyDescent="0.2">
      <c r="A25" s="34">
        <f t="shared" si="2"/>
        <v>5</v>
      </c>
      <c r="B25" s="38">
        <f t="shared" si="18"/>
        <v>45309</v>
      </c>
      <c r="C25" s="39">
        <f t="shared" si="3"/>
        <v>45309</v>
      </c>
      <c r="D25" s="105"/>
      <c r="E25" s="122"/>
      <c r="F25" s="122"/>
      <c r="G25" s="122"/>
      <c r="H25" s="122"/>
      <c r="I25" s="122"/>
      <c r="J25" s="122"/>
      <c r="K25" s="68">
        <f t="shared" si="4"/>
        <v>0</v>
      </c>
      <c r="L25" s="140">
        <f t="shared" si="0"/>
        <v>0</v>
      </c>
      <c r="M25" s="40">
        <f t="shared" si="5"/>
        <v>0</v>
      </c>
      <c r="N25" s="40">
        <f t="shared" si="6"/>
        <v>0</v>
      </c>
      <c r="O25" s="142">
        <f t="shared" si="7"/>
        <v>0</v>
      </c>
      <c r="P25" s="127">
        <f t="shared" si="1"/>
        <v>0.30555555555555552</v>
      </c>
      <c r="Q25" s="134" t="str">
        <f t="shared" si="8"/>
        <v/>
      </c>
      <c r="R25" s="127">
        <f t="shared" si="9"/>
        <v>0.30555555555555552</v>
      </c>
      <c r="S25" s="142">
        <f t="shared" si="10"/>
        <v>0</v>
      </c>
      <c r="T25" s="148">
        <f t="shared" si="11"/>
        <v>0</v>
      </c>
      <c r="U25" s="90"/>
      <c r="V25" s="90"/>
      <c r="W25" s="169" t="s">
        <v>79</v>
      </c>
      <c r="X25" s="98">
        <f>N39</f>
        <v>0</v>
      </c>
      <c r="Z25" s="124">
        <f t="shared" si="12"/>
        <v>0</v>
      </c>
      <c r="AA25" s="125">
        <f t="shared" si="13"/>
        <v>0</v>
      </c>
      <c r="AB25" s="124">
        <f t="shared" si="14"/>
        <v>0</v>
      </c>
      <c r="AC25" s="124">
        <f t="shared" si="15"/>
        <v>0</v>
      </c>
      <c r="AD25" s="124">
        <f t="shared" si="16"/>
        <v>0</v>
      </c>
      <c r="AE25" s="181">
        <f t="shared" si="17"/>
        <v>0</v>
      </c>
    </row>
    <row r="26" spans="1:32" ht="18" customHeight="1" x14ac:dyDescent="0.2">
      <c r="A26" s="34">
        <f t="shared" si="2"/>
        <v>6</v>
      </c>
      <c r="B26" s="38">
        <f t="shared" si="18"/>
        <v>45310</v>
      </c>
      <c r="C26" s="39">
        <f t="shared" si="3"/>
        <v>45310</v>
      </c>
      <c r="D26" s="105"/>
      <c r="E26" s="122"/>
      <c r="F26" s="122"/>
      <c r="G26" s="122"/>
      <c r="H26" s="122"/>
      <c r="I26" s="122"/>
      <c r="J26" s="122"/>
      <c r="K26" s="68">
        <f t="shared" si="4"/>
        <v>0</v>
      </c>
      <c r="L26" s="140">
        <f t="shared" si="0"/>
        <v>0</v>
      </c>
      <c r="M26" s="40">
        <f t="shared" si="5"/>
        <v>0</v>
      </c>
      <c r="N26" s="40">
        <f t="shared" si="6"/>
        <v>0</v>
      </c>
      <c r="O26" s="142">
        <f t="shared" si="7"/>
        <v>0</v>
      </c>
      <c r="P26" s="127">
        <f t="shared" si="1"/>
        <v>0.30555555555555552</v>
      </c>
      <c r="Q26" s="134" t="str">
        <f t="shared" si="8"/>
        <v/>
      </c>
      <c r="R26" s="127">
        <f t="shared" si="9"/>
        <v>0.30555555555555552</v>
      </c>
      <c r="S26" s="142">
        <f t="shared" si="10"/>
        <v>0</v>
      </c>
      <c r="T26" s="148">
        <f t="shared" si="11"/>
        <v>0</v>
      </c>
      <c r="U26" s="90"/>
      <c r="V26" s="90"/>
      <c r="W26" s="170" t="s">
        <v>74</v>
      </c>
      <c r="X26" s="171">
        <f>O39</f>
        <v>0</v>
      </c>
      <c r="Z26" s="124">
        <f t="shared" si="12"/>
        <v>0</v>
      </c>
      <c r="AA26" s="125">
        <f t="shared" si="13"/>
        <v>0</v>
      </c>
      <c r="AB26" s="124">
        <f t="shared" si="14"/>
        <v>0</v>
      </c>
      <c r="AC26" s="124">
        <f t="shared" si="15"/>
        <v>0</v>
      </c>
      <c r="AD26" s="124">
        <f t="shared" si="16"/>
        <v>0</v>
      </c>
      <c r="AE26" s="181">
        <f t="shared" si="17"/>
        <v>0</v>
      </c>
    </row>
    <row r="27" spans="1:32" ht="18" customHeight="1" x14ac:dyDescent="0.2">
      <c r="A27" s="34">
        <f t="shared" si="2"/>
        <v>7</v>
      </c>
      <c r="B27" s="38">
        <f t="shared" si="18"/>
        <v>45311</v>
      </c>
      <c r="C27" s="39">
        <f t="shared" si="3"/>
        <v>45311</v>
      </c>
      <c r="D27" s="105"/>
      <c r="E27" s="122"/>
      <c r="F27" s="122"/>
      <c r="G27" s="122"/>
      <c r="H27" s="122"/>
      <c r="I27" s="122"/>
      <c r="J27" s="122"/>
      <c r="K27" s="68">
        <f t="shared" si="4"/>
        <v>0</v>
      </c>
      <c r="L27" s="140">
        <f t="shared" si="0"/>
        <v>0</v>
      </c>
      <c r="M27" s="40">
        <f t="shared" si="5"/>
        <v>0</v>
      </c>
      <c r="N27" s="40">
        <f t="shared" si="6"/>
        <v>0</v>
      </c>
      <c r="O27" s="142">
        <f t="shared" si="7"/>
        <v>0</v>
      </c>
      <c r="P27" s="127">
        <f t="shared" si="1"/>
        <v>0.30555555555555552</v>
      </c>
      <c r="Q27" s="134" t="str">
        <f t="shared" si="8"/>
        <v/>
      </c>
      <c r="R27" s="127">
        <f t="shared" si="9"/>
        <v>0.30555555555555552</v>
      </c>
      <c r="S27" s="142">
        <f t="shared" si="10"/>
        <v>0</v>
      </c>
      <c r="T27" s="148">
        <f t="shared" si="11"/>
        <v>0</v>
      </c>
      <c r="U27" s="90"/>
      <c r="V27" s="90"/>
      <c r="W27" s="157" t="s">
        <v>75</v>
      </c>
      <c r="X27" s="158">
        <f>Q39</f>
        <v>0</v>
      </c>
      <c r="Z27" s="124">
        <f t="shared" si="12"/>
        <v>0</v>
      </c>
      <c r="AA27" s="125">
        <f t="shared" si="13"/>
        <v>0</v>
      </c>
      <c r="AB27" s="124">
        <f t="shared" si="14"/>
        <v>0</v>
      </c>
      <c r="AC27" s="124">
        <f t="shared" si="15"/>
        <v>0</v>
      </c>
      <c r="AD27" s="124">
        <f t="shared" si="16"/>
        <v>0</v>
      </c>
      <c r="AE27" s="181">
        <f t="shared" si="17"/>
        <v>0</v>
      </c>
    </row>
    <row r="28" spans="1:32" ht="18" customHeight="1" x14ac:dyDescent="0.2">
      <c r="A28" s="34">
        <f t="shared" si="2"/>
        <v>1</v>
      </c>
      <c r="B28" s="38">
        <f t="shared" si="18"/>
        <v>45312</v>
      </c>
      <c r="C28" s="39">
        <f t="shared" si="3"/>
        <v>45312</v>
      </c>
      <c r="D28" s="105"/>
      <c r="E28" s="122"/>
      <c r="F28" s="122"/>
      <c r="G28" s="122"/>
      <c r="H28" s="122"/>
      <c r="I28" s="122"/>
      <c r="J28" s="122"/>
      <c r="K28" s="68">
        <f t="shared" si="4"/>
        <v>0</v>
      </c>
      <c r="L28" s="140">
        <f t="shared" si="0"/>
        <v>0</v>
      </c>
      <c r="M28" s="40">
        <f t="shared" si="5"/>
        <v>0</v>
      </c>
      <c r="N28" s="40">
        <f t="shared" si="6"/>
        <v>0</v>
      </c>
      <c r="O28" s="142">
        <f t="shared" si="7"/>
        <v>0</v>
      </c>
      <c r="P28" s="127">
        <f t="shared" si="1"/>
        <v>0.30555555555555552</v>
      </c>
      <c r="Q28" s="134" t="str">
        <f t="shared" si="8"/>
        <v/>
      </c>
      <c r="R28" s="127">
        <f t="shared" si="9"/>
        <v>0.30555555555555552</v>
      </c>
      <c r="S28" s="142">
        <f t="shared" si="10"/>
        <v>0</v>
      </c>
      <c r="T28" s="148">
        <f t="shared" si="11"/>
        <v>0</v>
      </c>
      <c r="U28" s="90"/>
      <c r="V28" s="90"/>
      <c r="W28" s="163" t="s">
        <v>76</v>
      </c>
      <c r="X28" s="164">
        <f>R39</f>
        <v>19.852777777777789</v>
      </c>
      <c r="Z28" s="124">
        <f t="shared" si="12"/>
        <v>0</v>
      </c>
      <c r="AA28" s="125">
        <f t="shared" si="13"/>
        <v>0</v>
      </c>
      <c r="AB28" s="124">
        <f t="shared" si="14"/>
        <v>0</v>
      </c>
      <c r="AC28" s="124">
        <f t="shared" si="15"/>
        <v>0</v>
      </c>
      <c r="AD28" s="124">
        <f t="shared" si="16"/>
        <v>0</v>
      </c>
      <c r="AE28" s="181">
        <f t="shared" si="17"/>
        <v>0</v>
      </c>
    </row>
    <row r="29" spans="1:32" ht="18" customHeight="1" x14ac:dyDescent="0.2">
      <c r="A29" s="34">
        <f t="shared" si="2"/>
        <v>2</v>
      </c>
      <c r="B29" s="38">
        <f t="shared" si="18"/>
        <v>45313</v>
      </c>
      <c r="C29" s="39">
        <f t="shared" si="3"/>
        <v>45313</v>
      </c>
      <c r="D29" s="105"/>
      <c r="E29" s="122"/>
      <c r="F29" s="122"/>
      <c r="G29" s="122"/>
      <c r="H29" s="122"/>
      <c r="I29" s="122"/>
      <c r="J29" s="122"/>
      <c r="K29" s="68">
        <f t="shared" si="4"/>
        <v>0</v>
      </c>
      <c r="L29" s="140">
        <f t="shared" si="0"/>
        <v>0</v>
      </c>
      <c r="M29" s="40">
        <f t="shared" si="5"/>
        <v>0</v>
      </c>
      <c r="N29" s="40">
        <f t="shared" si="6"/>
        <v>0</v>
      </c>
      <c r="O29" s="142">
        <f t="shared" si="7"/>
        <v>0</v>
      </c>
      <c r="P29" s="127">
        <f t="shared" si="1"/>
        <v>0.30555555555555552</v>
      </c>
      <c r="Q29" s="134" t="str">
        <f t="shared" si="8"/>
        <v/>
      </c>
      <c r="R29" s="127">
        <f t="shared" si="9"/>
        <v>0.30555555555555552</v>
      </c>
      <c r="S29" s="142">
        <f t="shared" si="10"/>
        <v>0</v>
      </c>
      <c r="T29" s="148">
        <f t="shared" si="11"/>
        <v>0</v>
      </c>
      <c r="U29" s="90"/>
      <c r="V29" s="90"/>
      <c r="W29" s="157" t="s">
        <v>77</v>
      </c>
      <c r="X29" s="158">
        <f>S39</f>
        <v>0</v>
      </c>
      <c r="Z29" s="124">
        <f t="shared" si="12"/>
        <v>0</v>
      </c>
      <c r="AA29" s="125">
        <f t="shared" si="13"/>
        <v>0</v>
      </c>
      <c r="AB29" s="124">
        <f t="shared" si="14"/>
        <v>0</v>
      </c>
      <c r="AC29" s="124">
        <f t="shared" si="15"/>
        <v>0</v>
      </c>
      <c r="AD29" s="124">
        <f t="shared" si="16"/>
        <v>0</v>
      </c>
      <c r="AE29" s="181">
        <f t="shared" si="17"/>
        <v>0</v>
      </c>
    </row>
    <row r="30" spans="1:32" ht="18" customHeight="1" x14ac:dyDescent="0.2">
      <c r="A30" s="34">
        <f t="shared" si="2"/>
        <v>3</v>
      </c>
      <c r="B30" s="38">
        <f t="shared" si="18"/>
        <v>45314</v>
      </c>
      <c r="C30" s="39">
        <f t="shared" si="3"/>
        <v>45314</v>
      </c>
      <c r="D30" s="105"/>
      <c r="E30" s="122"/>
      <c r="F30" s="122"/>
      <c r="G30" s="122"/>
      <c r="H30" s="122"/>
      <c r="I30" s="122"/>
      <c r="J30" s="122"/>
      <c r="K30" s="68">
        <f t="shared" si="4"/>
        <v>0</v>
      </c>
      <c r="L30" s="140">
        <f t="shared" si="0"/>
        <v>0</v>
      </c>
      <c r="M30" s="40">
        <f t="shared" si="5"/>
        <v>0</v>
      </c>
      <c r="N30" s="40">
        <f t="shared" si="6"/>
        <v>0</v>
      </c>
      <c r="O30" s="142">
        <f t="shared" si="7"/>
        <v>0</v>
      </c>
      <c r="P30" s="127">
        <f t="shared" si="1"/>
        <v>0.30555555555555552</v>
      </c>
      <c r="Q30" s="134" t="str">
        <f t="shared" si="8"/>
        <v/>
      </c>
      <c r="R30" s="127">
        <f t="shared" si="9"/>
        <v>0.30555555555555552</v>
      </c>
      <c r="S30" s="142">
        <f t="shared" si="10"/>
        <v>0</v>
      </c>
      <c r="T30" s="148">
        <f t="shared" si="11"/>
        <v>0</v>
      </c>
      <c r="U30" s="90"/>
      <c r="V30" s="90"/>
      <c r="W30" s="165" t="s">
        <v>78</v>
      </c>
      <c r="X30" s="166">
        <f>T39</f>
        <v>0</v>
      </c>
      <c r="Z30" s="124">
        <f t="shared" si="12"/>
        <v>0</v>
      </c>
      <c r="AA30" s="125">
        <f t="shared" si="13"/>
        <v>0</v>
      </c>
      <c r="AB30" s="124">
        <f t="shared" si="14"/>
        <v>0</v>
      </c>
      <c r="AC30" s="124">
        <f t="shared" si="15"/>
        <v>0</v>
      </c>
      <c r="AD30" s="124">
        <f t="shared" si="16"/>
        <v>0</v>
      </c>
      <c r="AE30" s="181">
        <f t="shared" si="17"/>
        <v>0</v>
      </c>
    </row>
    <row r="31" spans="1:32" ht="18" customHeight="1" x14ac:dyDescent="0.2">
      <c r="A31" s="34">
        <f t="shared" si="2"/>
        <v>4</v>
      </c>
      <c r="B31" s="38">
        <f t="shared" si="18"/>
        <v>45315</v>
      </c>
      <c r="C31" s="39">
        <f>IF(B31="","",IF(COUNTIF(fer,B31)&gt;0,"feriado",B31))</f>
        <v>45315</v>
      </c>
      <c r="D31" s="105"/>
      <c r="E31" s="122"/>
      <c r="F31" s="122"/>
      <c r="G31" s="122"/>
      <c r="H31" s="122"/>
      <c r="I31" s="122"/>
      <c r="J31" s="122"/>
      <c r="K31" s="68">
        <f t="shared" si="4"/>
        <v>0</v>
      </c>
      <c r="L31" s="140">
        <f t="shared" si="0"/>
        <v>0</v>
      </c>
      <c r="M31" s="40">
        <f t="shared" si="5"/>
        <v>0</v>
      </c>
      <c r="N31" s="40">
        <f t="shared" si="6"/>
        <v>0</v>
      </c>
      <c r="O31" s="142">
        <f t="shared" si="7"/>
        <v>0</v>
      </c>
      <c r="P31" s="127">
        <f t="shared" si="1"/>
        <v>0.30555555555555552</v>
      </c>
      <c r="Q31" s="134" t="str">
        <f t="shared" si="8"/>
        <v/>
      </c>
      <c r="R31" s="127">
        <f t="shared" si="9"/>
        <v>0.30555555555555552</v>
      </c>
      <c r="S31" s="142">
        <f t="shared" si="10"/>
        <v>0</v>
      </c>
      <c r="T31" s="148">
        <f t="shared" si="11"/>
        <v>0</v>
      </c>
      <c r="U31" s="90"/>
      <c r="V31" s="90"/>
      <c r="W31" s="90"/>
      <c r="X31" s="90"/>
      <c r="Z31" s="124">
        <f t="shared" si="12"/>
        <v>0</v>
      </c>
      <c r="AA31" s="125">
        <f t="shared" si="13"/>
        <v>0</v>
      </c>
      <c r="AB31" s="124">
        <f t="shared" si="14"/>
        <v>0</v>
      </c>
      <c r="AC31" s="124">
        <f t="shared" si="15"/>
        <v>0</v>
      </c>
      <c r="AD31" s="124">
        <f t="shared" si="16"/>
        <v>0</v>
      </c>
      <c r="AE31" s="181">
        <f t="shared" si="17"/>
        <v>0</v>
      </c>
    </row>
    <row r="32" spans="1:32" ht="18" customHeight="1" x14ac:dyDescent="0.2">
      <c r="A32" s="34">
        <f t="shared" si="2"/>
        <v>5</v>
      </c>
      <c r="B32" s="38">
        <f t="shared" si="18"/>
        <v>45316</v>
      </c>
      <c r="C32" s="39">
        <f t="shared" si="3"/>
        <v>45316</v>
      </c>
      <c r="D32" s="105"/>
      <c r="E32" s="122"/>
      <c r="F32" s="122"/>
      <c r="G32" s="122"/>
      <c r="H32" s="122"/>
      <c r="I32" s="122"/>
      <c r="J32" s="122"/>
      <c r="K32" s="68">
        <f t="shared" si="4"/>
        <v>0</v>
      </c>
      <c r="L32" s="140">
        <f t="shared" si="0"/>
        <v>0</v>
      </c>
      <c r="M32" s="40">
        <f t="shared" si="5"/>
        <v>0</v>
      </c>
      <c r="N32" s="40">
        <f t="shared" si="6"/>
        <v>0</v>
      </c>
      <c r="O32" s="142">
        <f t="shared" si="7"/>
        <v>0</v>
      </c>
      <c r="P32" s="127">
        <f t="shared" si="1"/>
        <v>0.30555555555555552</v>
      </c>
      <c r="Q32" s="134" t="str">
        <f t="shared" si="8"/>
        <v/>
      </c>
      <c r="R32" s="127">
        <f t="shared" si="9"/>
        <v>0.30555555555555552</v>
      </c>
      <c r="S32" s="142">
        <f t="shared" si="10"/>
        <v>0</v>
      </c>
      <c r="T32" s="148">
        <f t="shared" si="11"/>
        <v>0</v>
      </c>
      <c r="U32" s="90"/>
      <c r="V32" s="90"/>
      <c r="W32" s="159" t="str">
        <f>IF(X28-X29=0,0,(IF(X28-X29&lt;0,"Horas Extras","Horas Compensadas")))</f>
        <v>Horas Compensadas</v>
      </c>
      <c r="X32" s="168">
        <f>IF(X28-X29&lt;0,(X28*-1)-(X29*-1),X28-X29)</f>
        <v>19.852777777777789</v>
      </c>
      <c r="Z32" s="124">
        <f t="shared" si="12"/>
        <v>0</v>
      </c>
      <c r="AA32" s="125">
        <f t="shared" si="13"/>
        <v>0</v>
      </c>
      <c r="AB32" s="124">
        <f t="shared" si="14"/>
        <v>0</v>
      </c>
      <c r="AC32" s="124">
        <f t="shared" si="15"/>
        <v>0</v>
      </c>
      <c r="AD32" s="124">
        <f t="shared" si="16"/>
        <v>0</v>
      </c>
      <c r="AE32" s="181">
        <f t="shared" si="17"/>
        <v>0</v>
      </c>
    </row>
    <row r="33" spans="1:31" ht="18" customHeight="1" x14ac:dyDescent="0.2">
      <c r="A33" s="34">
        <f t="shared" si="2"/>
        <v>6</v>
      </c>
      <c r="B33" s="38">
        <f t="shared" si="18"/>
        <v>45317</v>
      </c>
      <c r="C33" s="39">
        <f t="shared" si="3"/>
        <v>45317</v>
      </c>
      <c r="D33" s="105"/>
      <c r="E33" s="122"/>
      <c r="F33" s="122"/>
      <c r="G33" s="122"/>
      <c r="H33" s="122"/>
      <c r="I33" s="122"/>
      <c r="J33" s="122"/>
      <c r="K33" s="68">
        <f t="shared" si="4"/>
        <v>0</v>
      </c>
      <c r="L33" s="140">
        <f t="shared" si="0"/>
        <v>0</v>
      </c>
      <c r="M33" s="40">
        <f t="shared" si="5"/>
        <v>0</v>
      </c>
      <c r="N33" s="40">
        <f t="shared" si="6"/>
        <v>0</v>
      </c>
      <c r="O33" s="142">
        <f t="shared" si="7"/>
        <v>0</v>
      </c>
      <c r="P33" s="127">
        <f t="shared" si="1"/>
        <v>0.30555555555555552</v>
      </c>
      <c r="Q33" s="134" t="str">
        <f t="shared" si="8"/>
        <v/>
      </c>
      <c r="R33" s="127">
        <f t="shared" si="9"/>
        <v>0.30555555555555552</v>
      </c>
      <c r="S33" s="142">
        <f t="shared" si="10"/>
        <v>0</v>
      </c>
      <c r="T33" s="148">
        <f t="shared" si="11"/>
        <v>0</v>
      </c>
      <c r="U33" s="90"/>
      <c r="V33" s="90"/>
      <c r="W33" s="90"/>
      <c r="X33" s="90"/>
      <c r="Z33" s="124">
        <f t="shared" si="12"/>
        <v>0</v>
      </c>
      <c r="AA33" s="125">
        <f t="shared" si="13"/>
        <v>0</v>
      </c>
      <c r="AB33" s="124">
        <f t="shared" si="14"/>
        <v>0</v>
      </c>
      <c r="AC33" s="124">
        <f t="shared" si="15"/>
        <v>0</v>
      </c>
      <c r="AD33" s="124">
        <f t="shared" si="16"/>
        <v>0</v>
      </c>
      <c r="AE33" s="181">
        <f t="shared" si="17"/>
        <v>0</v>
      </c>
    </row>
    <row r="34" spans="1:31" ht="18" customHeight="1" x14ac:dyDescent="0.2">
      <c r="A34" s="34">
        <f t="shared" si="2"/>
        <v>7</v>
      </c>
      <c r="B34" s="38">
        <f t="shared" si="18"/>
        <v>45318</v>
      </c>
      <c r="C34" s="39">
        <f t="shared" si="3"/>
        <v>45318</v>
      </c>
      <c r="D34" s="105"/>
      <c r="E34" s="122"/>
      <c r="F34" s="122"/>
      <c r="G34" s="122"/>
      <c r="H34" s="122"/>
      <c r="I34" s="122"/>
      <c r="J34" s="122"/>
      <c r="K34" s="68">
        <f t="shared" si="4"/>
        <v>0</v>
      </c>
      <c r="L34" s="140">
        <f t="shared" si="0"/>
        <v>0</v>
      </c>
      <c r="M34" s="40">
        <f t="shared" si="5"/>
        <v>0</v>
      </c>
      <c r="N34" s="40">
        <f t="shared" si="6"/>
        <v>0</v>
      </c>
      <c r="O34" s="142">
        <f t="shared" si="7"/>
        <v>0</v>
      </c>
      <c r="P34" s="127">
        <f t="shared" si="1"/>
        <v>0.30555555555555552</v>
      </c>
      <c r="Q34" s="134" t="str">
        <f t="shared" si="8"/>
        <v/>
      </c>
      <c r="R34" s="127">
        <f t="shared" si="9"/>
        <v>0.30555555555555552</v>
      </c>
      <c r="S34" s="142">
        <f t="shared" si="10"/>
        <v>0</v>
      </c>
      <c r="T34" s="148">
        <f t="shared" si="11"/>
        <v>0</v>
      </c>
      <c r="U34" s="90"/>
      <c r="V34" s="90"/>
      <c r="W34" s="90"/>
      <c r="X34" s="90"/>
      <c r="Z34" s="124">
        <f t="shared" si="12"/>
        <v>0</v>
      </c>
      <c r="AA34" s="125">
        <f t="shared" si="13"/>
        <v>0</v>
      </c>
      <c r="AB34" s="124">
        <f t="shared" si="14"/>
        <v>0</v>
      </c>
      <c r="AC34" s="124">
        <f t="shared" si="15"/>
        <v>0</v>
      </c>
      <c r="AD34" s="124">
        <f t="shared" si="16"/>
        <v>0</v>
      </c>
      <c r="AE34" s="181">
        <f t="shared" si="17"/>
        <v>0</v>
      </c>
    </row>
    <row r="35" spans="1:31" ht="18" customHeight="1" x14ac:dyDescent="0.2">
      <c r="A35" s="34">
        <f t="shared" si="2"/>
        <v>1</v>
      </c>
      <c r="B35" s="38">
        <f t="shared" si="18"/>
        <v>45319</v>
      </c>
      <c r="C35" s="39">
        <f t="shared" si="3"/>
        <v>45319</v>
      </c>
      <c r="D35" s="105"/>
      <c r="E35" s="122"/>
      <c r="F35" s="122"/>
      <c r="G35" s="122"/>
      <c r="H35" s="122"/>
      <c r="I35" s="122"/>
      <c r="J35" s="122"/>
      <c r="K35" s="68">
        <f t="shared" si="4"/>
        <v>0</v>
      </c>
      <c r="L35" s="140">
        <f t="shared" si="0"/>
        <v>0</v>
      </c>
      <c r="M35" s="40">
        <f t="shared" si="5"/>
        <v>0</v>
      </c>
      <c r="N35" s="40">
        <f t="shared" si="6"/>
        <v>0</v>
      </c>
      <c r="O35" s="142">
        <f t="shared" si="7"/>
        <v>0</v>
      </c>
      <c r="P35" s="127">
        <f t="shared" si="1"/>
        <v>0.30555555555555552</v>
      </c>
      <c r="Q35" s="134" t="str">
        <f t="shared" si="8"/>
        <v/>
      </c>
      <c r="R35" s="127">
        <f t="shared" si="9"/>
        <v>0.30555555555555552</v>
      </c>
      <c r="S35" s="142">
        <f t="shared" si="10"/>
        <v>0</v>
      </c>
      <c r="T35" s="148">
        <f t="shared" si="11"/>
        <v>0</v>
      </c>
      <c r="U35" s="90"/>
      <c r="V35" s="90"/>
      <c r="W35" s="90"/>
      <c r="X35" s="90"/>
      <c r="Z35" s="124">
        <f t="shared" si="12"/>
        <v>0</v>
      </c>
      <c r="AA35" s="125">
        <f t="shared" si="13"/>
        <v>0</v>
      </c>
      <c r="AB35" s="124">
        <f t="shared" si="14"/>
        <v>0</v>
      </c>
      <c r="AC35" s="124">
        <f t="shared" si="15"/>
        <v>0</v>
      </c>
      <c r="AD35" s="124">
        <f t="shared" si="16"/>
        <v>0</v>
      </c>
      <c r="AE35" s="181">
        <f t="shared" si="17"/>
        <v>0</v>
      </c>
    </row>
    <row r="36" spans="1:31" ht="18" customHeight="1" x14ac:dyDescent="0.2">
      <c r="A36" s="34">
        <f t="shared" si="2"/>
        <v>2</v>
      </c>
      <c r="B36" s="38">
        <f>IF(B35="","",IF(B35&gt;=W117,"",B35+1))</f>
        <v>45320</v>
      </c>
      <c r="C36" s="39">
        <f t="shared" si="3"/>
        <v>45320</v>
      </c>
      <c r="D36" s="105"/>
      <c r="E36" s="122"/>
      <c r="F36" s="122"/>
      <c r="G36" s="122"/>
      <c r="H36" s="122"/>
      <c r="I36" s="122"/>
      <c r="J36" s="122"/>
      <c r="K36" s="68">
        <f t="shared" si="4"/>
        <v>0</v>
      </c>
      <c r="L36" s="140">
        <f t="shared" si="0"/>
        <v>0</v>
      </c>
      <c r="M36" s="40">
        <f t="shared" si="5"/>
        <v>0</v>
      </c>
      <c r="N36" s="40">
        <f t="shared" si="6"/>
        <v>0</v>
      </c>
      <c r="O36" s="142">
        <f t="shared" si="7"/>
        <v>0</v>
      </c>
      <c r="P36" s="127">
        <f t="shared" si="1"/>
        <v>0.30555555555555552</v>
      </c>
      <c r="Q36" s="134" t="str">
        <f t="shared" si="8"/>
        <v/>
      </c>
      <c r="R36" s="127">
        <f t="shared" si="9"/>
        <v>0.30555555555555552</v>
      </c>
      <c r="S36" s="142">
        <f t="shared" si="10"/>
        <v>0</v>
      </c>
      <c r="T36" s="148">
        <f t="shared" si="11"/>
        <v>0</v>
      </c>
      <c r="U36" s="90"/>
      <c r="V36" s="90"/>
      <c r="W36" s="90"/>
      <c r="X36" s="90"/>
      <c r="Z36" s="124">
        <f t="shared" si="12"/>
        <v>0</v>
      </c>
      <c r="AA36" s="125">
        <f t="shared" si="13"/>
        <v>0</v>
      </c>
      <c r="AB36" s="124">
        <f t="shared" si="14"/>
        <v>0</v>
      </c>
      <c r="AC36" s="124">
        <f t="shared" si="15"/>
        <v>0</v>
      </c>
      <c r="AD36" s="124">
        <f t="shared" si="16"/>
        <v>0</v>
      </c>
      <c r="AE36" s="181">
        <f t="shared" si="17"/>
        <v>0</v>
      </c>
    </row>
    <row r="37" spans="1:31" ht="18" customHeight="1" x14ac:dyDescent="0.2">
      <c r="A37" s="34">
        <f t="shared" si="2"/>
        <v>3</v>
      </c>
      <c r="B37" s="38">
        <f>IF(B36="","",IF(B36&gt;=W117,"",B36+1))</f>
        <v>45321</v>
      </c>
      <c r="C37" s="39">
        <f t="shared" si="3"/>
        <v>45321</v>
      </c>
      <c r="D37" s="105"/>
      <c r="E37" s="122"/>
      <c r="F37" s="122"/>
      <c r="G37" s="122"/>
      <c r="H37" s="122"/>
      <c r="I37" s="122"/>
      <c r="J37" s="122"/>
      <c r="K37" s="68">
        <f t="shared" si="4"/>
        <v>0</v>
      </c>
      <c r="L37" s="140">
        <f t="shared" si="0"/>
        <v>0</v>
      </c>
      <c r="M37" s="40">
        <f t="shared" si="5"/>
        <v>0</v>
      </c>
      <c r="N37" s="40">
        <f t="shared" si="6"/>
        <v>0</v>
      </c>
      <c r="O37" s="142">
        <f t="shared" si="7"/>
        <v>0</v>
      </c>
      <c r="P37" s="127">
        <f t="shared" si="1"/>
        <v>0.30555555555555552</v>
      </c>
      <c r="Q37" s="134" t="str">
        <f t="shared" si="8"/>
        <v/>
      </c>
      <c r="R37" s="127">
        <f t="shared" si="9"/>
        <v>0.30555555555555552</v>
      </c>
      <c r="S37" s="142">
        <f t="shared" si="10"/>
        <v>0</v>
      </c>
      <c r="T37" s="148">
        <f t="shared" si="11"/>
        <v>0</v>
      </c>
      <c r="U37" s="90"/>
      <c r="V37" s="90"/>
      <c r="W37" s="90"/>
      <c r="X37" s="90"/>
      <c r="Z37" s="124">
        <f t="shared" si="12"/>
        <v>0</v>
      </c>
      <c r="AA37" s="125">
        <f t="shared" si="13"/>
        <v>0</v>
      </c>
      <c r="AB37" s="124">
        <f t="shared" si="14"/>
        <v>0</v>
      </c>
      <c r="AC37" s="124">
        <f t="shared" si="15"/>
        <v>0</v>
      </c>
      <c r="AD37" s="124">
        <f t="shared" si="16"/>
        <v>0</v>
      </c>
      <c r="AE37" s="181">
        <f t="shared" si="17"/>
        <v>0</v>
      </c>
    </row>
    <row r="38" spans="1:31" ht="18" customHeight="1" x14ac:dyDescent="0.2">
      <c r="A38" s="34">
        <f t="shared" si="2"/>
        <v>4</v>
      </c>
      <c r="B38" s="41">
        <f>IF(B37="","",IF(B37&gt;=W117,"",B37+1))</f>
        <v>45322</v>
      </c>
      <c r="C38" s="42">
        <f t="shared" si="3"/>
        <v>45322</v>
      </c>
      <c r="D38" s="106"/>
      <c r="E38" s="123"/>
      <c r="F38" s="122"/>
      <c r="G38" s="122"/>
      <c r="H38" s="123"/>
      <c r="I38" s="123"/>
      <c r="J38" s="123"/>
      <c r="K38" s="75">
        <f t="shared" si="4"/>
        <v>0</v>
      </c>
      <c r="L38" s="75">
        <f>IF(B38="","",IF(AND(E38="",F38=""),0,MAX(ININOT,MIN(FIMNOT+1,AA38+(Z38&gt;AA38)))-MAX(ININOT,Z38)+(MIN(FIMNOT,AA38+(Z38&gt;AA38))-MIN(FIMNOT,Z38)))+IF(AND(G38="",H38=""),0,MAX(ININOT,MIN(FIMNOT+1,AC38+(AB38&gt;AC38)))-MAX(ININOT,AB38)+(MIN(FIMNOT,AC38+(AB38&gt;AC38))-MIN(FIMNOT,AB38)))+IF(AND(I38="",J38=""),0,MAX(ININOT,MIN(FIMNOT+1,AE38+(AD38&gt;AE38)))-MAX(ININOT,AD38)+(MIN(FIMNOT,AE38+(AD38&gt;AE38))-MIN(FIMNOT,AD38))))</f>
        <v>0</v>
      </c>
      <c r="M38" s="43">
        <f t="shared" si="5"/>
        <v>0</v>
      </c>
      <c r="N38" s="43">
        <f t="shared" si="6"/>
        <v>0</v>
      </c>
      <c r="O38" s="44">
        <f>IF(B38="","",MOD((AA38-Z38)+(AC38-AB38)+(AE38-AD38),1)+M38)</f>
        <v>0</v>
      </c>
      <c r="P38" s="126">
        <f t="shared" si="1"/>
        <v>0.30555555555555552</v>
      </c>
      <c r="Q38" s="134" t="str">
        <f t="shared" si="8"/>
        <v/>
      </c>
      <c r="R38" s="127">
        <f t="shared" si="9"/>
        <v>0.30555555555555552</v>
      </c>
      <c r="S38" s="44">
        <f>IF(B38="","",IF(AND(WEEKDAY(B38,1)=7,P38=0,D38&lt;&gt;"F"),MAX(0,O38-P38),IF(P38=0,0,MAX(0,O38-P38))))</f>
        <v>0</v>
      </c>
      <c r="T38" s="45">
        <f>IF(B38="","",IF(AND(WEEKDAY(B38,1)=7,P38=0,D38="F"),0,IF(P38=0,O38,0)))</f>
        <v>0</v>
      </c>
      <c r="U38" s="90"/>
      <c r="V38" s="90"/>
      <c r="W38" s="90"/>
      <c r="X38" s="90"/>
      <c r="Z38" s="124">
        <f t="shared" si="12"/>
        <v>0</v>
      </c>
      <c r="AA38" s="125">
        <f t="shared" si="13"/>
        <v>0</v>
      </c>
      <c r="AB38" s="124">
        <f t="shared" si="14"/>
        <v>0</v>
      </c>
      <c r="AC38" s="124">
        <f t="shared" si="15"/>
        <v>0</v>
      </c>
      <c r="AD38" s="124">
        <f t="shared" si="16"/>
        <v>0</v>
      </c>
      <c r="AE38" s="181">
        <f t="shared" si="17"/>
        <v>0</v>
      </c>
    </row>
    <row r="39" spans="1:31" ht="18" customHeight="1" x14ac:dyDescent="0.2">
      <c r="B39" s="54" t="s">
        <v>24</v>
      </c>
      <c r="C39" s="54" t="s">
        <v>25</v>
      </c>
      <c r="D39" s="54"/>
      <c r="E39" s="54" t="s">
        <v>30</v>
      </c>
      <c r="F39" s="54" t="s">
        <v>31</v>
      </c>
      <c r="G39" s="54" t="s">
        <v>32</v>
      </c>
      <c r="H39" s="54" t="s">
        <v>33</v>
      </c>
      <c r="I39" s="61"/>
      <c r="J39" s="61"/>
      <c r="K39" s="61" t="s">
        <v>34</v>
      </c>
      <c r="L39" s="62" t="s">
        <v>35</v>
      </c>
      <c r="M39" s="63" t="s">
        <v>36</v>
      </c>
      <c r="N39" s="64">
        <f>SUM(N8:N38)</f>
        <v>0</v>
      </c>
      <c r="O39" s="64">
        <f>SUM(O8:O38)</f>
        <v>0</v>
      </c>
      <c r="P39" s="59" t="s">
        <v>36</v>
      </c>
      <c r="Q39" s="64">
        <f>SUM(Q8:Q38)</f>
        <v>0</v>
      </c>
      <c r="R39" s="64">
        <f>SUM(R7:R38)</f>
        <v>19.852777777777789</v>
      </c>
      <c r="S39" s="64">
        <f>SUM(S7:S38)</f>
        <v>0</v>
      </c>
      <c r="T39" s="64">
        <f>SUM(T8:T38)</f>
        <v>0</v>
      </c>
      <c r="U39" s="91"/>
      <c r="V39" s="91"/>
      <c r="W39" s="91"/>
      <c r="X39" s="91"/>
    </row>
    <row r="40" spans="1:31" ht="18" customHeight="1" x14ac:dyDescent="0.2">
      <c r="B40" s="55">
        <f>B8</f>
        <v>45292</v>
      </c>
      <c r="C40" s="55">
        <f>MAX(B8:B38)</f>
        <v>45322</v>
      </c>
      <c r="D40" s="55"/>
      <c r="E40" s="56">
        <f>COUNTIF(C8:C38,"feriado")</f>
        <v>1</v>
      </c>
      <c r="F40" s="57">
        <f ca="1">SUMPRODUCT((WEEKDAY(ROW(INDIRECT($B40&amp;":"&amp;$C40)))=1)*(COUNTIF(fer,ROW(INDIRECT($B40&amp;":"&amp;$C40)))=0))</f>
        <v>4</v>
      </c>
      <c r="G40" s="57">
        <f>C40-B40+1</f>
        <v>31</v>
      </c>
      <c r="H40" s="57">
        <f ca="1">G40-K40</f>
        <v>26</v>
      </c>
      <c r="I40" s="60"/>
      <c r="J40" s="60"/>
      <c r="K40" s="60">
        <f ca="1">E40+F40</f>
        <v>5</v>
      </c>
      <c r="L40" s="65" t="str">
        <f ca="1">H40&amp;"/"&amp;K40</f>
        <v>26/5</v>
      </c>
      <c r="M40" s="66" t="s">
        <v>37</v>
      </c>
      <c r="N40" s="58">
        <f>N39*24</f>
        <v>0</v>
      </c>
      <c r="O40" s="58">
        <f>O39*24</f>
        <v>0</v>
      </c>
      <c r="P40" s="59" t="s">
        <v>37</v>
      </c>
      <c r="Q40" s="58">
        <f t="shared" ref="Q40:R40" si="19">Q39*24</f>
        <v>0</v>
      </c>
      <c r="R40" s="58">
        <f t="shared" si="19"/>
        <v>476.46666666666692</v>
      </c>
      <c r="S40" s="58">
        <f>S39*24</f>
        <v>0</v>
      </c>
      <c r="T40" s="58">
        <f>T39*24</f>
        <v>0</v>
      </c>
      <c r="U40" s="92"/>
      <c r="V40" s="92"/>
      <c r="W40" s="92"/>
      <c r="X40" s="92"/>
    </row>
    <row r="41" spans="1:31" ht="18" customHeight="1" x14ac:dyDescent="0.2">
      <c r="B41" s="114" t="str">
        <f>IF(dia_f="","",DATE(YEAR(W117),MONTH(W117),1))</f>
        <v/>
      </c>
      <c r="C41" s="115" t="str">
        <f>IF(dia_f="","",EOMONTH(B41,0))</f>
        <v/>
      </c>
      <c r="D41" s="67"/>
      <c r="E41" s="56" t="str">
        <f>IF(B41="","",SUMPRODUCT(((WEEKDAY(fer)&gt;1))*(fer&gt;=B41)*(fer&lt;=C41)))</f>
        <v/>
      </c>
      <c r="F41" s="57" t="str">
        <f ca="1">IF(B41="","",SUMPRODUCT((WEEKDAY(ROW(INDIRECT($B41&amp;":"&amp;$C41)))=1)*1))</f>
        <v/>
      </c>
      <c r="G41" s="107" t="str">
        <f>IF(B41="","",DAY(C41))</f>
        <v/>
      </c>
      <c r="H41" s="107" t="str">
        <f ca="1">IF(B41="","",SUMPRODUCT((WEEKDAY(ROW(INDIRECT(B41&amp;":"&amp;C41)))&gt;1)*(COUNTIF(fer,ROW(INDIRECT(B41&amp;":"&amp;C41)))=0)))</f>
        <v/>
      </c>
      <c r="I41" s="107"/>
      <c r="J41" s="107"/>
      <c r="K41" s="60" t="str">
        <f>IF(B41="","",E41+F41)</f>
        <v/>
      </c>
      <c r="L41" s="65" t="str">
        <f>IF(B41="","",H41&amp;"/"&amp;K41)</f>
        <v/>
      </c>
      <c r="M41" s="67" t="s">
        <v>38</v>
      </c>
      <c r="N41" s="58">
        <f ca="1">N40/$H$40*$K$40</f>
        <v>0</v>
      </c>
      <c r="O41" s="152"/>
      <c r="P41" s="153"/>
      <c r="Q41" s="153"/>
      <c r="R41" s="153"/>
      <c r="S41" s="154"/>
      <c r="T41" s="154"/>
      <c r="U41" s="92"/>
      <c r="V41" s="92"/>
      <c r="W41" s="92"/>
      <c r="X41" s="92"/>
    </row>
    <row r="42" spans="1:31" ht="18" customHeight="1" x14ac:dyDescent="0.2">
      <c r="M42" s="117" t="str">
        <f>IF(B41="","","Dsr mês:")</f>
        <v/>
      </c>
      <c r="N42" s="188" t="str">
        <f>IF(B41="","",N40/H41*K41)</f>
        <v/>
      </c>
      <c r="O42" s="206" t="str">
        <f>IF(B41="","","Dsr mês:")</f>
        <v/>
      </c>
      <c r="P42" s="206"/>
      <c r="Q42" s="151"/>
      <c r="R42" s="151"/>
      <c r="S42" s="92" t="str">
        <f>IF(B41="","",S40/$H$41*$K$41)</f>
        <v/>
      </c>
      <c r="T42" s="92" t="str">
        <f>IF(B41="","",T40/$H$41*$K$41)</f>
        <v/>
      </c>
    </row>
    <row r="44" spans="1:31" ht="18.75" x14ac:dyDescent="0.2">
      <c r="C44" s="70"/>
      <c r="D44" s="120"/>
      <c r="H44" s="1"/>
      <c r="I44" s="1"/>
      <c r="J44" s="1"/>
      <c r="K44" s="1"/>
      <c r="L44" s="1"/>
      <c r="M44" s="1"/>
      <c r="N44" s="1"/>
    </row>
    <row r="45" spans="1:31" x14ac:dyDescent="0.2">
      <c r="D45" s="135"/>
    </row>
    <row r="47" spans="1:31" x14ac:dyDescent="0.2">
      <c r="D47" s="136"/>
    </row>
    <row r="48" spans="1:31" x14ac:dyDescent="0.2">
      <c r="D48" s="136"/>
    </row>
    <row r="116" spans="4:24" x14ac:dyDescent="0.2">
      <c r="W116" s="73">
        <f>B8</f>
        <v>45292</v>
      </c>
      <c r="X116" s="69" t="s">
        <v>39</v>
      </c>
    </row>
    <row r="117" spans="4:24" x14ac:dyDescent="0.2">
      <c r="W117" s="73">
        <f>IF(DAY(B8)=1,EOMONTH(B8,0),DATE(YEAR(B8),MONTH(B8)+1,dia_f))</f>
        <v>45322</v>
      </c>
      <c r="X117" s="69" t="s">
        <v>40</v>
      </c>
    </row>
    <row r="119" spans="4:24" x14ac:dyDescent="0.2">
      <c r="D119" s="69" t="s">
        <v>41</v>
      </c>
      <c r="F119" s="69" t="s">
        <v>42</v>
      </c>
    </row>
    <row r="120" spans="4:24" x14ac:dyDescent="0.2">
      <c r="D120" s="116">
        <v>1</v>
      </c>
      <c r="F120" s="118">
        <v>2020</v>
      </c>
    </row>
    <row r="121" spans="4:24" x14ac:dyDescent="0.2">
      <c r="D121" s="119">
        <v>2</v>
      </c>
      <c r="F121" s="118">
        <v>2021</v>
      </c>
    </row>
    <row r="122" spans="4:24" x14ac:dyDescent="0.2">
      <c r="D122" s="119">
        <v>3</v>
      </c>
      <c r="F122" s="118">
        <v>2022</v>
      </c>
    </row>
    <row r="123" spans="4:24" x14ac:dyDescent="0.2">
      <c r="D123" s="120">
        <v>4</v>
      </c>
      <c r="F123" s="118">
        <v>2023</v>
      </c>
    </row>
    <row r="124" spans="4:24" x14ac:dyDescent="0.2">
      <c r="D124" s="120">
        <v>5</v>
      </c>
      <c r="F124" s="118">
        <v>2024</v>
      </c>
    </row>
    <row r="125" spans="4:24" x14ac:dyDescent="0.2">
      <c r="D125" s="120">
        <v>6</v>
      </c>
      <c r="F125" s="118">
        <v>2025</v>
      </c>
    </row>
    <row r="126" spans="4:24" x14ac:dyDescent="0.2">
      <c r="D126" s="120">
        <v>7</v>
      </c>
      <c r="F126" s="118">
        <v>2026</v>
      </c>
    </row>
    <row r="127" spans="4:24" x14ac:dyDescent="0.2">
      <c r="D127" s="120">
        <v>8</v>
      </c>
      <c r="F127" s="118">
        <v>2027</v>
      </c>
    </row>
    <row r="128" spans="4:24" x14ac:dyDescent="0.2">
      <c r="D128" s="120">
        <v>9</v>
      </c>
      <c r="F128" s="118">
        <v>2028</v>
      </c>
    </row>
    <row r="129" spans="4:6" x14ac:dyDescent="0.2">
      <c r="D129" s="120">
        <v>10</v>
      </c>
      <c r="F129" s="118">
        <v>2029</v>
      </c>
    </row>
    <row r="130" spans="4:6" x14ac:dyDescent="0.2">
      <c r="D130" s="120">
        <v>11</v>
      </c>
      <c r="F130" s="118">
        <v>2030</v>
      </c>
    </row>
    <row r="131" spans="4:6" x14ac:dyDescent="0.2">
      <c r="D131" s="120">
        <v>12</v>
      </c>
      <c r="F131" s="118">
        <v>2031</v>
      </c>
    </row>
    <row r="150" spans="2:4" x14ac:dyDescent="0.2">
      <c r="B150" s="69"/>
      <c r="C150" s="70"/>
      <c r="D150" s="70"/>
    </row>
    <row r="151" spans="2:4" x14ac:dyDescent="0.2">
      <c r="B151" s="69"/>
      <c r="C151" s="70"/>
      <c r="D151" s="70"/>
    </row>
  </sheetData>
  <mergeCells count="9">
    <mergeCell ref="O42:P42"/>
    <mergeCell ref="H2:H3"/>
    <mergeCell ref="S2:S4"/>
    <mergeCell ref="Z6:AE6"/>
    <mergeCell ref="B5:C5"/>
    <mergeCell ref="W6:X7"/>
    <mergeCell ref="B7:C7"/>
    <mergeCell ref="W17:X17"/>
    <mergeCell ref="W20:X20"/>
  </mergeCells>
  <conditionalFormatting sqref="B8:C38">
    <cfRule type="expression" dxfId="36" priority="10">
      <formula>WEEKDAY($B8,2)=7</formula>
    </cfRule>
    <cfRule type="expression" dxfId="35" priority="11">
      <formula>COUNTIF(fer,$B8)&gt;0</formula>
    </cfRule>
  </conditionalFormatting>
  <conditionalFormatting sqref="D8:D38">
    <cfRule type="cellIs" dxfId="34" priority="9" operator="equal">
      <formula>"F"</formula>
    </cfRule>
  </conditionalFormatting>
  <conditionalFormatting sqref="M42">
    <cfRule type="expression" dxfId="33" priority="8">
      <formula>$B$41&lt;&gt;""</formula>
    </cfRule>
  </conditionalFormatting>
  <conditionalFormatting sqref="N42">
    <cfRule type="expression" dxfId="32" priority="7">
      <formula>$B$41&lt;&gt;""</formula>
    </cfRule>
  </conditionalFormatting>
  <conditionalFormatting sqref="O42:R42">
    <cfRule type="expression" dxfId="31" priority="6">
      <formula>$B$41&lt;&gt;""</formula>
    </cfRule>
  </conditionalFormatting>
  <conditionalFormatting sqref="S42:T42">
    <cfRule type="expression" dxfId="30" priority="5">
      <formula>$B$41&lt;&gt;""</formula>
    </cfRule>
  </conditionalFormatting>
  <conditionalFormatting sqref="K8:T38">
    <cfRule type="expression" dxfId="29" priority="4">
      <formula>$D8="F"</formula>
    </cfRule>
  </conditionalFormatting>
  <conditionalFormatting sqref="Q8:Q38">
    <cfRule type="expression" dxfId="28" priority="3">
      <formula>Q8&gt;0</formula>
    </cfRule>
  </conditionalFormatting>
  <conditionalFormatting sqref="R7:R38">
    <cfRule type="expression" dxfId="27" priority="2">
      <formula>R7&gt;0</formula>
    </cfRule>
  </conditionalFormatting>
  <conditionalFormatting sqref="E8:J38">
    <cfRule type="expression" dxfId="26" priority="1">
      <formula>$D8="F"</formula>
    </cfRule>
  </conditionalFormatting>
  <dataValidations count="1">
    <dataValidation type="custom" allowBlank="1" showInputMessage="1" showErrorMessage="1" sqref="E8:J38" xr:uid="{9E6ACAC6-4A98-4B59-8D38-FC681BC4B8EB}">
      <formula1>OR(E8=2400,TEXT(E8,"00\:00")=TEXT(Z8,"hh:mm"))</formula1>
    </dataValidation>
  </dataValidations>
  <pageMargins left="0.75" right="0.75" top="1" bottom="1" header="0.49212598499999999" footer="0.49212598499999999"/>
  <pageSetup paperSize="9" scale="83" orientation="landscape" r:id="rId1"/>
  <headerFooter alignWithMargins="0"/>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24" r:id="rId4" name="Botão 4">
              <controlPr defaultSize="0" print="0" autoFill="0" autoPict="0" macro="[0]!Limpar_Click">
                <anchor moveWithCells="1" sizeWithCells="1">
                  <from>
                    <xdr:col>22</xdr:col>
                    <xdr:colOff>133350</xdr:colOff>
                    <xdr:row>33</xdr:row>
                    <xdr:rowOff>28575</xdr:rowOff>
                  </from>
                  <to>
                    <xdr:col>23</xdr:col>
                    <xdr:colOff>495300</xdr:colOff>
                    <xdr:row>35</xdr:row>
                    <xdr:rowOff>114300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6">
    <tabColor theme="6"/>
  </sheetPr>
  <dimension ref="A1:AF151"/>
  <sheetViews>
    <sheetView showGridLines="0" zoomScaleNormal="100" workbookViewId="0">
      <selection activeCell="F131" sqref="F131"/>
    </sheetView>
  </sheetViews>
  <sheetFormatPr defaultRowHeight="12.75" x14ac:dyDescent="0.2"/>
  <cols>
    <col min="1" max="1" width="2.7109375" customWidth="1"/>
    <col min="2" max="2" width="12.140625" customWidth="1"/>
    <col min="3" max="3" width="12.42578125" customWidth="1"/>
    <col min="4" max="4" width="6.85546875" customWidth="1"/>
    <col min="5" max="5" width="9.42578125" customWidth="1"/>
    <col min="6" max="7" width="9.42578125" bestFit="1" customWidth="1"/>
    <col min="8" max="8" width="10.140625" bestFit="1" customWidth="1"/>
    <col min="9" max="10" width="10.140625" customWidth="1"/>
    <col min="11" max="14" width="9.42578125" customWidth="1"/>
    <col min="15" max="17" width="11.28515625" customWidth="1"/>
    <col min="18" max="18" width="9.28515625" customWidth="1"/>
    <col min="19" max="19" width="11.28515625" customWidth="1"/>
    <col min="21" max="22" width="0.85546875" customWidth="1"/>
    <col min="23" max="23" width="24" customWidth="1"/>
    <col min="24" max="24" width="8.42578125" customWidth="1"/>
    <col min="25" max="25" width="6.7109375" customWidth="1"/>
    <col min="26" max="31" width="9.7109375" customWidth="1"/>
    <col min="32" max="32" width="26.85546875" customWidth="1"/>
  </cols>
  <sheetData>
    <row r="1" spans="1:32" ht="18" customHeight="1" x14ac:dyDescent="0.2">
      <c r="E1" s="182" t="str">
        <f>CHOOSE(MONTH(W117),"Janeiro","Fevereiro","Março","Abril","Maio","Junho","Julho","Agosto","Setembro","Outubro","Novembro","Dezembro")</f>
        <v>Fevereiro</v>
      </c>
      <c r="F1" s="69"/>
      <c r="H1" s="177"/>
      <c r="I1" s="177"/>
      <c r="J1" s="177"/>
    </row>
    <row r="2" spans="1:32" ht="15" customHeight="1" x14ac:dyDescent="0.2">
      <c r="D2" s="110"/>
      <c r="E2" s="121"/>
      <c r="H2" s="203"/>
      <c r="I2" s="179"/>
      <c r="J2" s="179"/>
      <c r="L2" s="2"/>
      <c r="S2" s="217"/>
      <c r="Z2" s="137"/>
      <c r="AA2" s="84"/>
      <c r="AB2" s="84"/>
      <c r="AC2" s="84"/>
      <c r="AD2" s="84"/>
    </row>
    <row r="3" spans="1:32" ht="15" customHeight="1" x14ac:dyDescent="0.2">
      <c r="D3" s="110"/>
      <c r="E3" s="121"/>
      <c r="H3" s="204"/>
      <c r="I3" s="180"/>
      <c r="J3" s="180"/>
      <c r="L3" s="3"/>
      <c r="M3" s="72"/>
      <c r="S3" s="217"/>
      <c r="Z3" s="84"/>
      <c r="AA3" s="84"/>
      <c r="AB3" s="84"/>
      <c r="AC3" s="84"/>
      <c r="AD3" s="84"/>
    </row>
    <row r="4" spans="1:32" ht="15" customHeight="1" x14ac:dyDescent="0.2">
      <c r="S4" s="217"/>
      <c r="AA4" s="146"/>
      <c r="AB4" s="146"/>
      <c r="AC4" s="146"/>
      <c r="AD4" s="84"/>
    </row>
    <row r="5" spans="1:32" ht="24.95" customHeight="1" x14ac:dyDescent="0.2">
      <c r="B5" s="218" t="s">
        <v>80</v>
      </c>
      <c r="C5" s="219"/>
      <c r="D5" s="185" t="str">
        <f>Outubro!D5</f>
        <v>Alexandre José de Souza Silva</v>
      </c>
      <c r="E5" s="191"/>
      <c r="F5" s="192"/>
      <c r="G5" s="144"/>
      <c r="H5" s="145"/>
      <c r="I5" s="195" t="s">
        <v>85</v>
      </c>
      <c r="J5" s="143"/>
      <c r="K5" s="144"/>
      <c r="L5" s="144"/>
      <c r="M5" s="144"/>
      <c r="N5" s="145"/>
      <c r="O5" s="196" t="s">
        <v>86</v>
      </c>
      <c r="P5" s="143"/>
      <c r="Q5" s="144"/>
      <c r="R5" s="144"/>
      <c r="S5" s="144"/>
      <c r="T5" s="145"/>
      <c r="Z5" s="146"/>
      <c r="AA5" s="146"/>
      <c r="AB5" s="146"/>
      <c r="AC5" s="146"/>
    </row>
    <row r="6" spans="1:32" ht="25.5" customHeight="1" x14ac:dyDescent="0.2">
      <c r="B6" s="74" t="s">
        <v>1</v>
      </c>
      <c r="C6" s="74" t="s">
        <v>2</v>
      </c>
      <c r="D6" s="74" t="s">
        <v>3</v>
      </c>
      <c r="E6" s="74" t="s">
        <v>4</v>
      </c>
      <c r="F6" s="74" t="s">
        <v>5</v>
      </c>
      <c r="G6" s="74" t="s">
        <v>4</v>
      </c>
      <c r="H6" s="74" t="s">
        <v>5</v>
      </c>
      <c r="I6" s="74" t="s">
        <v>4</v>
      </c>
      <c r="J6" s="74" t="s">
        <v>5</v>
      </c>
      <c r="K6" s="74" t="s">
        <v>6</v>
      </c>
      <c r="L6" s="74" t="s">
        <v>7</v>
      </c>
      <c r="M6" s="74" t="s">
        <v>8</v>
      </c>
      <c r="N6" s="74" t="s">
        <v>84</v>
      </c>
      <c r="O6" s="74" t="s">
        <v>9</v>
      </c>
      <c r="P6" s="74" t="s">
        <v>10</v>
      </c>
      <c r="Q6" s="74" t="s">
        <v>71</v>
      </c>
      <c r="R6" s="74" t="s">
        <v>70</v>
      </c>
      <c r="S6" s="74" t="s">
        <v>11</v>
      </c>
      <c r="T6" s="74" t="s">
        <v>12</v>
      </c>
      <c r="W6" s="220" t="s">
        <v>13</v>
      </c>
      <c r="X6" s="221"/>
      <c r="Z6" s="200" t="s">
        <v>0</v>
      </c>
      <c r="AA6" s="201"/>
      <c r="AB6" s="201"/>
      <c r="AC6" s="201"/>
      <c r="AD6" s="201"/>
      <c r="AE6" s="202"/>
    </row>
    <row r="7" spans="1:32" ht="18" customHeight="1" x14ac:dyDescent="0.2">
      <c r="B7" s="211" t="s">
        <v>73</v>
      </c>
      <c r="C7" s="212"/>
      <c r="D7" s="143"/>
      <c r="E7" s="144"/>
      <c r="F7" s="144"/>
      <c r="G7" s="144"/>
      <c r="H7" s="144"/>
      <c r="I7" s="144"/>
      <c r="J7" s="144"/>
      <c r="K7" s="144"/>
      <c r="L7" s="144"/>
      <c r="M7" s="144"/>
      <c r="N7" s="144"/>
      <c r="O7" s="144"/>
      <c r="P7" s="144"/>
      <c r="Q7" s="145"/>
      <c r="R7" s="149">
        <f>IF(Janeiro!W32="Horas Compensadas",Janeiro!X32,0)</f>
        <v>19.852777777777789</v>
      </c>
      <c r="S7" s="149">
        <f>IF(Janeiro!W32="Horas Extras",Janeiro!X32,0)</f>
        <v>0</v>
      </c>
      <c r="T7" s="149"/>
      <c r="U7" s="93"/>
      <c r="V7" s="147"/>
      <c r="W7" s="222"/>
      <c r="X7" s="223"/>
      <c r="Y7" s="129"/>
      <c r="Z7" s="74" t="s">
        <v>4</v>
      </c>
      <c r="AA7" s="74" t="s">
        <v>5</v>
      </c>
      <c r="AB7" s="74" t="s">
        <v>4</v>
      </c>
      <c r="AC7" s="74" t="s">
        <v>5</v>
      </c>
      <c r="AD7" s="74" t="s">
        <v>4</v>
      </c>
      <c r="AE7" s="74" t="s">
        <v>5</v>
      </c>
      <c r="AF7" s="71"/>
    </row>
    <row r="8" spans="1:32" ht="18" customHeight="1" x14ac:dyDescent="0.2">
      <c r="A8" s="34">
        <f>IF(B8="","",IF(C8&lt;&gt;"feriado",WEEKDAY(B8),8))</f>
        <v>5</v>
      </c>
      <c r="B8" s="36">
        <f>EDATE(inicio,4)</f>
        <v>45323</v>
      </c>
      <c r="C8" s="37">
        <f>IF(B8="","",IF(COUNTIF(fer,B8)&gt;0,"feriado",B8))</f>
        <v>45323</v>
      </c>
      <c r="D8" s="138"/>
      <c r="E8" s="139"/>
      <c r="F8" s="139"/>
      <c r="G8" s="139"/>
      <c r="H8" s="139"/>
      <c r="I8" s="139"/>
      <c r="J8" s="139"/>
      <c r="K8" s="140">
        <f>IF(B8="","",ROUND(O8-N8,5))</f>
        <v>0</v>
      </c>
      <c r="L8" s="140">
        <f t="shared" ref="L8:L38" si="0">IF(B8="","",IF(AND(E8="",F8=""),0,MAX(ININOT,MIN(FIMNOT+1,AA8+(Z8&gt;AA8)))-MAX(ININOT,Z8)+(MIN(FIMNOT,AA8+(Z8&gt;AA8))-MIN(FIMNOT,Z8)))+IF(AND(G8="",H8=""),0,MAX(ININOT,MIN(FIMNOT+1,AC8+(AB8&gt;AC8)))-MAX(ININOT,AB8)+(MIN(FIMNOT,AC8+(AB8&gt;AC8))-MIN(FIMNOT,AB8)))+IF(AND(I8="",J8=""),0,MAX(ININOT,MIN(FIMNOT+1,AE8+(AD8&gt;AE8)))-MAX(ININOT,AD8)+(MIN(FIMNOT,AE8+(AD8&gt;AE8))-MIN(FIMNOT,AD8))))</f>
        <v>0</v>
      </c>
      <c r="M8" s="141">
        <f>IF(B8="","",(L8/7*8)-L8)</f>
        <v>0</v>
      </c>
      <c r="N8" s="141">
        <f>IF(B8="","",L8+M8)</f>
        <v>0</v>
      </c>
      <c r="O8" s="142">
        <f>IF(B8="","",MOD((AA8-Z8)+(AC8-AB8)+(AE8-AD8),1)+M8)</f>
        <v>0</v>
      </c>
      <c r="P8" s="134">
        <f t="shared" ref="P8:P38" si="1">IF(B8="","",IF(D8="F",$X$16,VLOOKUP(A8,jornada,3)))</f>
        <v>0.30555555555555552</v>
      </c>
      <c r="Q8" s="134" t="str">
        <f>IF(B8="","",IF(AND(D8="A",P8&gt;O8),P8-O8,""))</f>
        <v/>
      </c>
      <c r="R8" s="134">
        <f>IF(B8="","",IF(AND(O8&gt;0,D8="F"),"",IF(D8="A","",IF(O8&lt;P8,P8-O8,""))))</f>
        <v>0.30555555555555552</v>
      </c>
      <c r="S8" s="142">
        <f>IF(B8="","",IF(AND(WEEKDAY(B8,1)=7,P8=0,D8&lt;&gt;"F"),MAX(0,O8-P8),IF(P8=0,0,MAX(0,O8-P8))))</f>
        <v>0</v>
      </c>
      <c r="T8" s="148">
        <f>IF(B8="","",IF(AND(WEEKDAY(B8,1)=7,P8=0,D8&lt;&gt;"F"),0,IF(P8=0,O8,0)))</f>
        <v>0</v>
      </c>
      <c r="U8" s="104"/>
      <c r="V8" s="108">
        <v>1</v>
      </c>
      <c r="W8" s="95" t="s">
        <v>15</v>
      </c>
      <c r="X8" s="99">
        <v>0.30555555555555552</v>
      </c>
      <c r="Z8" s="125">
        <f>IF(B8="","",IF($E8="",0,TIME(INT(E8/100),MOD(E8,100),0)))</f>
        <v>0</v>
      </c>
      <c r="AA8" s="125">
        <f>IF(B8="","",IF($F8="",0,TIME(INT(F8/100),MOD(F8,100),0)))</f>
        <v>0</v>
      </c>
      <c r="AB8" s="124">
        <f>IF(B8="","",IF($G8="",0,TIME(INT(G8/100),MOD(G8,100),0)))</f>
        <v>0</v>
      </c>
      <c r="AC8" s="124">
        <f>IF(B8="","",IF($H8="",0,TIME(INT(H8/100),MOD(H8,100),0)))</f>
        <v>0</v>
      </c>
      <c r="AD8" s="124">
        <f>IF(B8="","",IF($I8="",0,TIME(INT(I8/100),MOD(I8,100),0)))</f>
        <v>0</v>
      </c>
      <c r="AE8" s="181">
        <f>IF(B8="","",IF($J8="",0,TIME(INT(J8/100),MOD(J8,100),0)))</f>
        <v>0</v>
      </c>
      <c r="AF8" s="5"/>
    </row>
    <row r="9" spans="1:32" ht="18" customHeight="1" x14ac:dyDescent="0.2">
      <c r="A9" s="34">
        <f t="shared" ref="A9:A38" si="2">IF(B9="","",IF(C9&lt;&gt;"feriado",WEEKDAY(B9),8))</f>
        <v>6</v>
      </c>
      <c r="B9" s="38">
        <f>B8+1</f>
        <v>45324</v>
      </c>
      <c r="C9" s="39">
        <f t="shared" ref="C9:C38" si="3">IF(B9="","",IF(COUNTIF(fer,B9)&gt;0,"feriado",B9))</f>
        <v>45324</v>
      </c>
      <c r="D9" s="105"/>
      <c r="E9" s="122"/>
      <c r="F9" s="122"/>
      <c r="G9" s="122"/>
      <c r="H9" s="122"/>
      <c r="I9" s="122"/>
      <c r="J9" s="122"/>
      <c r="K9" s="68">
        <f t="shared" ref="K9:K38" si="4">IF(B9="","",ROUND(O9-N9,5))</f>
        <v>0</v>
      </c>
      <c r="L9" s="140">
        <f t="shared" si="0"/>
        <v>0</v>
      </c>
      <c r="M9" s="40">
        <f t="shared" ref="M9:M38" si="5">IF(B9="","",(L9/7*8)-L9)</f>
        <v>0</v>
      </c>
      <c r="N9" s="40">
        <f t="shared" ref="N9:N38" si="6">IF(B9="","",L9+M9)</f>
        <v>0</v>
      </c>
      <c r="O9" s="142">
        <f t="shared" ref="O9:O37" si="7">IF(B9="","",MOD((AA9-Z9)+(AC9-AB9)+(AE9-AD9),1)+M9)</f>
        <v>0</v>
      </c>
      <c r="P9" s="127">
        <f t="shared" si="1"/>
        <v>0.30555555555555552</v>
      </c>
      <c r="Q9" s="134" t="str">
        <f t="shared" ref="Q9:Q38" si="8">IF(B9="","",IF(AND(D9="A",P9&gt;O9),P9-O9,""))</f>
        <v/>
      </c>
      <c r="R9" s="127">
        <f t="shared" ref="R9:R38" si="9">IF(B9="","",IF(AND(O9&gt;0,D9="F"),"",IF(D9="A","",IF(O9&lt;P9,P9-O9,""))))</f>
        <v>0.30555555555555552</v>
      </c>
      <c r="S9" s="142">
        <f t="shared" ref="S9:S37" si="10">IF(B9="","",IF(AND(WEEKDAY(B9,1)=7,P9=0,D9&lt;&gt;"F"),MAX(0,O9-P9),IF(P9=0,0,MAX(0,O9-P9))))</f>
        <v>0</v>
      </c>
      <c r="T9" s="148">
        <f t="shared" ref="T9:T37" si="11">IF(B9="","",IF(AND(WEEKDAY(B9,1)=7,P9=0,D9&lt;&gt;"F"),0,IF(P9=0,O9,0)))</f>
        <v>0</v>
      </c>
      <c r="U9" s="90"/>
      <c r="V9" s="109">
        <v>2</v>
      </c>
      <c r="W9" s="102" t="s">
        <v>16</v>
      </c>
      <c r="X9" s="100">
        <v>0.30555555555555552</v>
      </c>
      <c r="Z9" s="124">
        <f t="shared" ref="Z9:Z38" si="12">IF(B9="","",IF($E9="",0,TIME(INT(E9/100),MOD(E9,100),0)))</f>
        <v>0</v>
      </c>
      <c r="AA9" s="125">
        <f t="shared" ref="AA9:AA38" si="13">IF(B9="","",IF($F9="",0,TIME(INT(F9/100),MOD(F9,100),0)))</f>
        <v>0</v>
      </c>
      <c r="AB9" s="124">
        <f t="shared" ref="AB9:AB38" si="14">IF(B9="","",IF($G9="",0,TIME(INT(G9/100),MOD(G9,100),0)))</f>
        <v>0</v>
      </c>
      <c r="AC9" s="124">
        <f t="shared" ref="AC9:AC38" si="15">IF(B9="","",IF($H9="",0,TIME(INT(H9/100),MOD(H9,100),0)))</f>
        <v>0</v>
      </c>
      <c r="AD9" s="124">
        <f t="shared" ref="AD9:AD38" si="16">IF(B9="","",IF($I9="",0,TIME(INT(I9/100),MOD(I9,100),0)))</f>
        <v>0</v>
      </c>
      <c r="AE9" s="181">
        <f t="shared" ref="AE9:AE38" si="17">IF(B9="","",IF($J9="",0,TIME(INT(J9/100),MOD(J9,100),0)))</f>
        <v>0</v>
      </c>
      <c r="AF9" s="5"/>
    </row>
    <row r="10" spans="1:32" ht="18" customHeight="1" x14ac:dyDescent="0.2">
      <c r="A10" s="34">
        <f t="shared" si="2"/>
        <v>7</v>
      </c>
      <c r="B10" s="38">
        <f>B9+1</f>
        <v>45325</v>
      </c>
      <c r="C10" s="39">
        <f t="shared" si="3"/>
        <v>45325</v>
      </c>
      <c r="D10" s="105"/>
      <c r="E10" s="122"/>
      <c r="F10" s="122"/>
      <c r="G10" s="122"/>
      <c r="H10" s="122"/>
      <c r="I10" s="122"/>
      <c r="J10" s="122"/>
      <c r="K10" s="68">
        <f t="shared" si="4"/>
        <v>0</v>
      </c>
      <c r="L10" s="140">
        <f t="shared" si="0"/>
        <v>0</v>
      </c>
      <c r="M10" s="40">
        <f t="shared" si="5"/>
        <v>0</v>
      </c>
      <c r="N10" s="40">
        <f t="shared" si="6"/>
        <v>0</v>
      </c>
      <c r="O10" s="142">
        <f t="shared" si="7"/>
        <v>0</v>
      </c>
      <c r="P10" s="127">
        <f t="shared" si="1"/>
        <v>0.30555555555555552</v>
      </c>
      <c r="Q10" s="134" t="str">
        <f t="shared" si="8"/>
        <v/>
      </c>
      <c r="R10" s="127">
        <f t="shared" si="9"/>
        <v>0.30555555555555552</v>
      </c>
      <c r="S10" s="142">
        <f t="shared" si="10"/>
        <v>0</v>
      </c>
      <c r="T10" s="148">
        <f t="shared" si="11"/>
        <v>0</v>
      </c>
      <c r="U10" s="90"/>
      <c r="V10" s="109">
        <v>3</v>
      </c>
      <c r="W10" s="96" t="s">
        <v>17</v>
      </c>
      <c r="X10" s="100">
        <v>0.30555555555555552</v>
      </c>
      <c r="Z10" s="124">
        <f t="shared" si="12"/>
        <v>0</v>
      </c>
      <c r="AA10" s="125">
        <f t="shared" si="13"/>
        <v>0</v>
      </c>
      <c r="AB10" s="124">
        <f t="shared" si="14"/>
        <v>0</v>
      </c>
      <c r="AC10" s="124">
        <f t="shared" si="15"/>
        <v>0</v>
      </c>
      <c r="AD10" s="124">
        <f t="shared" si="16"/>
        <v>0</v>
      </c>
      <c r="AE10" s="181">
        <f t="shared" si="17"/>
        <v>0</v>
      </c>
      <c r="AF10" s="5"/>
    </row>
    <row r="11" spans="1:32" ht="18" customHeight="1" x14ac:dyDescent="0.2">
      <c r="A11" s="34">
        <f t="shared" si="2"/>
        <v>1</v>
      </c>
      <c r="B11" s="38">
        <f>B10+1</f>
        <v>45326</v>
      </c>
      <c r="C11" s="39">
        <f t="shared" si="3"/>
        <v>45326</v>
      </c>
      <c r="D11" s="105"/>
      <c r="E11" s="122"/>
      <c r="F11" s="122"/>
      <c r="G11" s="122"/>
      <c r="H11" s="122"/>
      <c r="I11" s="122"/>
      <c r="J11" s="122"/>
      <c r="K11" s="68">
        <f t="shared" si="4"/>
        <v>0</v>
      </c>
      <c r="L11" s="140">
        <f t="shared" si="0"/>
        <v>0</v>
      </c>
      <c r="M11" s="40">
        <f t="shared" si="5"/>
        <v>0</v>
      </c>
      <c r="N11" s="40">
        <f t="shared" si="6"/>
        <v>0</v>
      </c>
      <c r="O11" s="142">
        <f t="shared" si="7"/>
        <v>0</v>
      </c>
      <c r="P11" s="127">
        <f t="shared" si="1"/>
        <v>0.30555555555555552</v>
      </c>
      <c r="Q11" s="134" t="str">
        <f t="shared" si="8"/>
        <v/>
      </c>
      <c r="R11" s="127">
        <f t="shared" si="9"/>
        <v>0.30555555555555552</v>
      </c>
      <c r="S11" s="142">
        <f t="shared" si="10"/>
        <v>0</v>
      </c>
      <c r="T11" s="148">
        <f t="shared" si="11"/>
        <v>0</v>
      </c>
      <c r="U11" s="90"/>
      <c r="V11" s="109">
        <v>4</v>
      </c>
      <c r="W11" s="96" t="s">
        <v>18</v>
      </c>
      <c r="X11" s="100">
        <v>0.30555555555555552</v>
      </c>
      <c r="Z11" s="124">
        <f t="shared" si="12"/>
        <v>0</v>
      </c>
      <c r="AA11" s="125">
        <f t="shared" si="13"/>
        <v>0</v>
      </c>
      <c r="AB11" s="124">
        <f t="shared" si="14"/>
        <v>0</v>
      </c>
      <c r="AC11" s="124">
        <f t="shared" si="15"/>
        <v>0</v>
      </c>
      <c r="AD11" s="124">
        <f t="shared" si="16"/>
        <v>0</v>
      </c>
      <c r="AE11" s="181">
        <f t="shared" si="17"/>
        <v>0</v>
      </c>
      <c r="AF11" s="5"/>
    </row>
    <row r="12" spans="1:32" ht="18" customHeight="1" x14ac:dyDescent="0.2">
      <c r="A12" s="34">
        <f t="shared" si="2"/>
        <v>2</v>
      </c>
      <c r="B12" s="38">
        <f>B11+1</f>
        <v>45327</v>
      </c>
      <c r="C12" s="39">
        <f t="shared" si="3"/>
        <v>45327</v>
      </c>
      <c r="D12" s="105"/>
      <c r="E12" s="122"/>
      <c r="F12" s="122"/>
      <c r="G12" s="122"/>
      <c r="H12" s="122"/>
      <c r="I12" s="122"/>
      <c r="J12" s="122"/>
      <c r="K12" s="68">
        <f t="shared" si="4"/>
        <v>0</v>
      </c>
      <c r="L12" s="140">
        <f t="shared" si="0"/>
        <v>0</v>
      </c>
      <c r="M12" s="40">
        <f t="shared" si="5"/>
        <v>0</v>
      </c>
      <c r="N12" s="40">
        <f t="shared" si="6"/>
        <v>0</v>
      </c>
      <c r="O12" s="142">
        <f t="shared" si="7"/>
        <v>0</v>
      </c>
      <c r="P12" s="127">
        <f t="shared" si="1"/>
        <v>0.30555555555555552</v>
      </c>
      <c r="Q12" s="134" t="str">
        <f t="shared" si="8"/>
        <v/>
      </c>
      <c r="R12" s="127">
        <f t="shared" si="9"/>
        <v>0.30555555555555552</v>
      </c>
      <c r="S12" s="142">
        <f t="shared" si="10"/>
        <v>0</v>
      </c>
      <c r="T12" s="148">
        <f t="shared" si="11"/>
        <v>0</v>
      </c>
      <c r="U12" s="90"/>
      <c r="V12" s="109">
        <v>5</v>
      </c>
      <c r="W12" s="96" t="s">
        <v>19</v>
      </c>
      <c r="X12" s="100">
        <v>0.30555555555555552</v>
      </c>
      <c r="Z12" s="124">
        <f t="shared" si="12"/>
        <v>0</v>
      </c>
      <c r="AA12" s="125">
        <f t="shared" si="13"/>
        <v>0</v>
      </c>
      <c r="AB12" s="124">
        <f t="shared" si="14"/>
        <v>0</v>
      </c>
      <c r="AC12" s="124">
        <f t="shared" si="15"/>
        <v>0</v>
      </c>
      <c r="AD12" s="124">
        <f t="shared" si="16"/>
        <v>0</v>
      </c>
      <c r="AE12" s="181">
        <f t="shared" si="17"/>
        <v>0</v>
      </c>
      <c r="AF12" s="5"/>
    </row>
    <row r="13" spans="1:32" ht="18" customHeight="1" x14ac:dyDescent="0.2">
      <c r="A13" s="34">
        <f t="shared" si="2"/>
        <v>3</v>
      </c>
      <c r="B13" s="38">
        <f t="shared" ref="B13:B35" si="18">B12+1</f>
        <v>45328</v>
      </c>
      <c r="C13" s="39">
        <f t="shared" si="3"/>
        <v>45328</v>
      </c>
      <c r="D13" s="105"/>
      <c r="E13" s="122"/>
      <c r="F13" s="122"/>
      <c r="G13" s="122"/>
      <c r="H13" s="122"/>
      <c r="I13" s="122"/>
      <c r="J13" s="122"/>
      <c r="K13" s="68">
        <f t="shared" si="4"/>
        <v>0</v>
      </c>
      <c r="L13" s="140">
        <f t="shared" si="0"/>
        <v>0</v>
      </c>
      <c r="M13" s="40">
        <f t="shared" si="5"/>
        <v>0</v>
      </c>
      <c r="N13" s="40">
        <f t="shared" si="6"/>
        <v>0</v>
      </c>
      <c r="O13" s="142">
        <f t="shared" si="7"/>
        <v>0</v>
      </c>
      <c r="P13" s="127">
        <f t="shared" si="1"/>
        <v>0.30555555555555552</v>
      </c>
      <c r="Q13" s="134" t="str">
        <f t="shared" si="8"/>
        <v/>
      </c>
      <c r="R13" s="127">
        <f t="shared" si="9"/>
        <v>0.30555555555555552</v>
      </c>
      <c r="S13" s="142">
        <f t="shared" si="10"/>
        <v>0</v>
      </c>
      <c r="T13" s="148">
        <f t="shared" si="11"/>
        <v>0</v>
      </c>
      <c r="U13" s="90"/>
      <c r="V13" s="109">
        <v>6</v>
      </c>
      <c r="W13" s="96" t="s">
        <v>20</v>
      </c>
      <c r="X13" s="100">
        <v>0.30555555555555552</v>
      </c>
      <c r="Z13" s="124">
        <f t="shared" si="12"/>
        <v>0</v>
      </c>
      <c r="AA13" s="125">
        <f t="shared" si="13"/>
        <v>0</v>
      </c>
      <c r="AB13" s="124">
        <f t="shared" si="14"/>
        <v>0</v>
      </c>
      <c r="AC13" s="124">
        <f t="shared" si="15"/>
        <v>0</v>
      </c>
      <c r="AD13" s="124">
        <f t="shared" si="16"/>
        <v>0</v>
      </c>
      <c r="AE13" s="181">
        <f t="shared" si="17"/>
        <v>0</v>
      </c>
      <c r="AF13" s="5"/>
    </row>
    <row r="14" spans="1:32" ht="18" customHeight="1" x14ac:dyDescent="0.2">
      <c r="A14" s="34">
        <f t="shared" si="2"/>
        <v>4</v>
      </c>
      <c r="B14" s="38">
        <f t="shared" si="18"/>
        <v>45329</v>
      </c>
      <c r="C14" s="39">
        <f t="shared" si="3"/>
        <v>45329</v>
      </c>
      <c r="D14" s="105"/>
      <c r="E14" s="122"/>
      <c r="F14" s="122"/>
      <c r="G14" s="122"/>
      <c r="H14" s="122"/>
      <c r="I14" s="122"/>
      <c r="J14" s="122"/>
      <c r="K14" s="68">
        <f t="shared" si="4"/>
        <v>0</v>
      </c>
      <c r="L14" s="140">
        <f t="shared" si="0"/>
        <v>0</v>
      </c>
      <c r="M14" s="40">
        <f t="shared" si="5"/>
        <v>0</v>
      </c>
      <c r="N14" s="40">
        <f t="shared" si="6"/>
        <v>0</v>
      </c>
      <c r="O14" s="142">
        <f t="shared" si="7"/>
        <v>0</v>
      </c>
      <c r="P14" s="127">
        <f t="shared" si="1"/>
        <v>0.30555555555555552</v>
      </c>
      <c r="Q14" s="134" t="str">
        <f t="shared" si="8"/>
        <v/>
      </c>
      <c r="R14" s="127">
        <f t="shared" si="9"/>
        <v>0.30555555555555552</v>
      </c>
      <c r="S14" s="142">
        <f t="shared" si="10"/>
        <v>0</v>
      </c>
      <c r="T14" s="148">
        <f t="shared" si="11"/>
        <v>0</v>
      </c>
      <c r="U14" s="90"/>
      <c r="V14" s="109">
        <v>7</v>
      </c>
      <c r="W14" s="103" t="s">
        <v>21</v>
      </c>
      <c r="X14" s="100">
        <v>0.30555555555555552</v>
      </c>
      <c r="Z14" s="124">
        <f t="shared" si="12"/>
        <v>0</v>
      </c>
      <c r="AA14" s="125">
        <f t="shared" si="13"/>
        <v>0</v>
      </c>
      <c r="AB14" s="124">
        <f t="shared" si="14"/>
        <v>0</v>
      </c>
      <c r="AC14" s="124">
        <f t="shared" si="15"/>
        <v>0</v>
      </c>
      <c r="AD14" s="124">
        <f t="shared" si="16"/>
        <v>0</v>
      </c>
      <c r="AE14" s="181">
        <f t="shared" si="17"/>
        <v>0</v>
      </c>
      <c r="AF14" s="5"/>
    </row>
    <row r="15" spans="1:32" ht="18" customHeight="1" x14ac:dyDescent="0.2">
      <c r="A15" s="34">
        <f t="shared" si="2"/>
        <v>5</v>
      </c>
      <c r="B15" s="38">
        <f t="shared" si="18"/>
        <v>45330</v>
      </c>
      <c r="C15" s="39">
        <f t="shared" si="3"/>
        <v>45330</v>
      </c>
      <c r="D15" s="105"/>
      <c r="E15" s="122"/>
      <c r="F15" s="122"/>
      <c r="G15" s="122"/>
      <c r="H15" s="122"/>
      <c r="I15" s="122"/>
      <c r="J15" s="122"/>
      <c r="K15" s="68">
        <f t="shared" si="4"/>
        <v>0</v>
      </c>
      <c r="L15" s="140">
        <f t="shared" si="0"/>
        <v>0</v>
      </c>
      <c r="M15" s="40">
        <f t="shared" si="5"/>
        <v>0</v>
      </c>
      <c r="N15" s="40">
        <f t="shared" si="6"/>
        <v>0</v>
      </c>
      <c r="O15" s="142">
        <f t="shared" si="7"/>
        <v>0</v>
      </c>
      <c r="P15" s="127">
        <f t="shared" si="1"/>
        <v>0.30555555555555552</v>
      </c>
      <c r="Q15" s="134" t="str">
        <f t="shared" si="8"/>
        <v/>
      </c>
      <c r="R15" s="127">
        <f t="shared" si="9"/>
        <v>0.30555555555555552</v>
      </c>
      <c r="S15" s="142">
        <f t="shared" si="10"/>
        <v>0</v>
      </c>
      <c r="T15" s="148">
        <f t="shared" si="11"/>
        <v>0</v>
      </c>
      <c r="U15" s="90"/>
      <c r="V15" s="109">
        <v>8</v>
      </c>
      <c r="W15" s="97" t="s">
        <v>22</v>
      </c>
      <c r="X15" s="101">
        <v>0.30555555555555552</v>
      </c>
      <c r="Z15" s="124">
        <f t="shared" si="12"/>
        <v>0</v>
      </c>
      <c r="AA15" s="125">
        <f t="shared" si="13"/>
        <v>0</v>
      </c>
      <c r="AB15" s="124">
        <f t="shared" si="14"/>
        <v>0</v>
      </c>
      <c r="AC15" s="124">
        <f t="shared" si="15"/>
        <v>0</v>
      </c>
      <c r="AD15" s="124">
        <f t="shared" si="16"/>
        <v>0</v>
      </c>
      <c r="AE15" s="181">
        <f t="shared" si="17"/>
        <v>0</v>
      </c>
      <c r="AF15" s="5"/>
    </row>
    <row r="16" spans="1:32" ht="18" customHeight="1" x14ac:dyDescent="0.2">
      <c r="A16" s="34">
        <f t="shared" si="2"/>
        <v>6</v>
      </c>
      <c r="B16" s="38">
        <f t="shared" si="18"/>
        <v>45331</v>
      </c>
      <c r="C16" s="39">
        <f t="shared" si="3"/>
        <v>45331</v>
      </c>
      <c r="D16" s="105"/>
      <c r="E16" s="122"/>
      <c r="F16" s="122"/>
      <c r="G16" s="122"/>
      <c r="H16" s="122"/>
      <c r="I16" s="122"/>
      <c r="J16" s="122"/>
      <c r="K16" s="68">
        <f t="shared" si="4"/>
        <v>0</v>
      </c>
      <c r="L16" s="140">
        <f t="shared" si="0"/>
        <v>0</v>
      </c>
      <c r="M16" s="40">
        <f t="shared" si="5"/>
        <v>0</v>
      </c>
      <c r="N16" s="40">
        <f t="shared" si="6"/>
        <v>0</v>
      </c>
      <c r="O16" s="142">
        <f t="shared" si="7"/>
        <v>0</v>
      </c>
      <c r="P16" s="127">
        <f t="shared" si="1"/>
        <v>0.30555555555555552</v>
      </c>
      <c r="Q16" s="134" t="str">
        <f t="shared" si="8"/>
        <v/>
      </c>
      <c r="R16" s="127">
        <f t="shared" si="9"/>
        <v>0.30555555555555552</v>
      </c>
      <c r="S16" s="142">
        <f t="shared" si="10"/>
        <v>0</v>
      </c>
      <c r="T16" s="148">
        <f t="shared" si="11"/>
        <v>0</v>
      </c>
      <c r="U16" s="90"/>
      <c r="V16" s="90"/>
      <c r="W16" s="98" t="s">
        <v>3</v>
      </c>
      <c r="X16" s="94">
        <v>0</v>
      </c>
      <c r="Z16" s="124">
        <f t="shared" si="12"/>
        <v>0</v>
      </c>
      <c r="AA16" s="125">
        <f t="shared" si="13"/>
        <v>0</v>
      </c>
      <c r="AB16" s="124">
        <f t="shared" si="14"/>
        <v>0</v>
      </c>
      <c r="AC16" s="124">
        <f t="shared" si="15"/>
        <v>0</v>
      </c>
      <c r="AD16" s="124">
        <f t="shared" si="16"/>
        <v>0</v>
      </c>
      <c r="AE16" s="181">
        <f t="shared" si="17"/>
        <v>0</v>
      </c>
      <c r="AF16" s="5"/>
    </row>
    <row r="17" spans="1:32" ht="18" customHeight="1" x14ac:dyDescent="0.2">
      <c r="A17" s="34">
        <f t="shared" si="2"/>
        <v>7</v>
      </c>
      <c r="B17" s="38">
        <f t="shared" si="18"/>
        <v>45332</v>
      </c>
      <c r="C17" s="39">
        <f t="shared" si="3"/>
        <v>45332</v>
      </c>
      <c r="D17" s="105"/>
      <c r="E17" s="122"/>
      <c r="F17" s="122"/>
      <c r="G17" s="122"/>
      <c r="H17" s="122"/>
      <c r="I17" s="122"/>
      <c r="J17" s="122"/>
      <c r="K17" s="68">
        <f t="shared" si="4"/>
        <v>0</v>
      </c>
      <c r="L17" s="140">
        <f t="shared" si="0"/>
        <v>0</v>
      </c>
      <c r="M17" s="40">
        <f t="shared" si="5"/>
        <v>0</v>
      </c>
      <c r="N17" s="40">
        <f t="shared" si="6"/>
        <v>0</v>
      </c>
      <c r="O17" s="142">
        <f t="shared" si="7"/>
        <v>0</v>
      </c>
      <c r="P17" s="127">
        <f t="shared" si="1"/>
        <v>0.30555555555555552</v>
      </c>
      <c r="Q17" s="134" t="str">
        <f t="shared" si="8"/>
        <v/>
      </c>
      <c r="R17" s="127">
        <f t="shared" si="9"/>
        <v>0.30555555555555552</v>
      </c>
      <c r="S17" s="142">
        <f t="shared" si="10"/>
        <v>0</v>
      </c>
      <c r="T17" s="148">
        <f t="shared" si="11"/>
        <v>0</v>
      </c>
      <c r="U17" s="90"/>
      <c r="V17" s="90"/>
      <c r="W17" s="209" t="s">
        <v>23</v>
      </c>
      <c r="X17" s="210"/>
      <c r="Z17" s="124">
        <f t="shared" si="12"/>
        <v>0</v>
      </c>
      <c r="AA17" s="125">
        <f t="shared" si="13"/>
        <v>0</v>
      </c>
      <c r="AB17" s="124">
        <f t="shared" si="14"/>
        <v>0</v>
      </c>
      <c r="AC17" s="124">
        <f t="shared" si="15"/>
        <v>0</v>
      </c>
      <c r="AD17" s="124">
        <f t="shared" si="16"/>
        <v>0</v>
      </c>
      <c r="AE17" s="181">
        <f t="shared" si="17"/>
        <v>0</v>
      </c>
      <c r="AF17" s="5"/>
    </row>
    <row r="18" spans="1:32" ht="18" customHeight="1" x14ac:dyDescent="0.2">
      <c r="A18" s="34">
        <f t="shared" si="2"/>
        <v>1</v>
      </c>
      <c r="B18" s="38">
        <f t="shared" si="18"/>
        <v>45333</v>
      </c>
      <c r="C18" s="39">
        <f t="shared" si="3"/>
        <v>45333</v>
      </c>
      <c r="D18" s="105"/>
      <c r="E18" s="122"/>
      <c r="F18" s="122"/>
      <c r="G18" s="122"/>
      <c r="H18" s="122"/>
      <c r="I18" s="122"/>
      <c r="J18" s="122"/>
      <c r="K18" s="68">
        <f t="shared" si="4"/>
        <v>0</v>
      </c>
      <c r="L18" s="140">
        <f t="shared" si="0"/>
        <v>0</v>
      </c>
      <c r="M18" s="40">
        <f t="shared" si="5"/>
        <v>0</v>
      </c>
      <c r="N18" s="40">
        <f t="shared" si="6"/>
        <v>0</v>
      </c>
      <c r="O18" s="142">
        <f t="shared" si="7"/>
        <v>0</v>
      </c>
      <c r="P18" s="127">
        <f t="shared" si="1"/>
        <v>0.30555555555555552</v>
      </c>
      <c r="Q18" s="134" t="str">
        <f t="shared" si="8"/>
        <v/>
      </c>
      <c r="R18" s="127">
        <f t="shared" si="9"/>
        <v>0.30555555555555552</v>
      </c>
      <c r="S18" s="142">
        <f t="shared" si="10"/>
        <v>0</v>
      </c>
      <c r="T18" s="148">
        <f t="shared" si="11"/>
        <v>0</v>
      </c>
      <c r="U18" s="90"/>
      <c r="V18" s="90"/>
      <c r="W18" s="111" t="s">
        <v>24</v>
      </c>
      <c r="X18" s="99">
        <f>ININOT</f>
        <v>0.91666666666666663</v>
      </c>
      <c r="Z18" s="124">
        <f t="shared" si="12"/>
        <v>0</v>
      </c>
      <c r="AA18" s="125">
        <f t="shared" si="13"/>
        <v>0</v>
      </c>
      <c r="AB18" s="124">
        <f t="shared" si="14"/>
        <v>0</v>
      </c>
      <c r="AC18" s="124">
        <f t="shared" si="15"/>
        <v>0</v>
      </c>
      <c r="AD18" s="124">
        <f t="shared" si="16"/>
        <v>0</v>
      </c>
      <c r="AE18" s="181">
        <f t="shared" si="17"/>
        <v>0</v>
      </c>
      <c r="AF18" s="5"/>
    </row>
    <row r="19" spans="1:32" ht="18" customHeight="1" x14ac:dyDescent="0.2">
      <c r="A19" s="34">
        <f t="shared" si="2"/>
        <v>2</v>
      </c>
      <c r="B19" s="38">
        <f t="shared" si="18"/>
        <v>45334</v>
      </c>
      <c r="C19" s="39">
        <f t="shared" si="3"/>
        <v>45334</v>
      </c>
      <c r="D19" s="105"/>
      <c r="E19" s="122"/>
      <c r="F19" s="122"/>
      <c r="G19" s="122"/>
      <c r="H19" s="122"/>
      <c r="I19" s="122"/>
      <c r="J19" s="122"/>
      <c r="K19" s="68">
        <f t="shared" si="4"/>
        <v>0</v>
      </c>
      <c r="L19" s="140">
        <f t="shared" si="0"/>
        <v>0</v>
      </c>
      <c r="M19" s="40">
        <f t="shared" si="5"/>
        <v>0</v>
      </c>
      <c r="N19" s="40">
        <f t="shared" si="6"/>
        <v>0</v>
      </c>
      <c r="O19" s="142">
        <f t="shared" si="7"/>
        <v>0</v>
      </c>
      <c r="P19" s="127">
        <f t="shared" si="1"/>
        <v>0.30555555555555552</v>
      </c>
      <c r="Q19" s="134" t="str">
        <f t="shared" si="8"/>
        <v/>
      </c>
      <c r="R19" s="127">
        <f t="shared" si="9"/>
        <v>0.30555555555555552</v>
      </c>
      <c r="S19" s="142">
        <f t="shared" si="10"/>
        <v>0</v>
      </c>
      <c r="T19" s="148">
        <f t="shared" si="11"/>
        <v>0</v>
      </c>
      <c r="U19" s="90"/>
      <c r="V19" s="90"/>
      <c r="W19" s="112" t="s">
        <v>25</v>
      </c>
      <c r="X19" s="101">
        <f>FIMNOT</f>
        <v>0.20833333333333334</v>
      </c>
      <c r="Z19" s="124">
        <f t="shared" si="12"/>
        <v>0</v>
      </c>
      <c r="AA19" s="125">
        <f t="shared" si="13"/>
        <v>0</v>
      </c>
      <c r="AB19" s="124">
        <f t="shared" si="14"/>
        <v>0</v>
      </c>
      <c r="AC19" s="124">
        <f t="shared" si="15"/>
        <v>0</v>
      </c>
      <c r="AD19" s="124">
        <f t="shared" si="16"/>
        <v>0</v>
      </c>
      <c r="AE19" s="181">
        <f t="shared" si="17"/>
        <v>0</v>
      </c>
      <c r="AF19" s="7"/>
    </row>
    <row r="20" spans="1:32" ht="18" customHeight="1" x14ac:dyDescent="0.2">
      <c r="A20" s="34">
        <f t="shared" si="2"/>
        <v>3</v>
      </c>
      <c r="B20" s="38">
        <f t="shared" si="18"/>
        <v>45335</v>
      </c>
      <c r="C20" s="39">
        <f t="shared" si="3"/>
        <v>45335</v>
      </c>
      <c r="D20" s="105"/>
      <c r="E20" s="122"/>
      <c r="F20" s="122"/>
      <c r="G20" s="122"/>
      <c r="H20" s="122"/>
      <c r="I20" s="122"/>
      <c r="J20" s="122"/>
      <c r="K20" s="68">
        <f t="shared" si="4"/>
        <v>0</v>
      </c>
      <c r="L20" s="140">
        <f t="shared" si="0"/>
        <v>0</v>
      </c>
      <c r="M20" s="40">
        <f t="shared" si="5"/>
        <v>0</v>
      </c>
      <c r="N20" s="40">
        <f t="shared" si="6"/>
        <v>0</v>
      </c>
      <c r="O20" s="142">
        <f t="shared" si="7"/>
        <v>0</v>
      </c>
      <c r="P20" s="127">
        <f t="shared" si="1"/>
        <v>0.30555555555555552</v>
      </c>
      <c r="Q20" s="134" t="str">
        <f t="shared" si="8"/>
        <v/>
      </c>
      <c r="R20" s="127">
        <f t="shared" si="9"/>
        <v>0.30555555555555552</v>
      </c>
      <c r="S20" s="142">
        <f t="shared" si="10"/>
        <v>0</v>
      </c>
      <c r="T20" s="148">
        <f t="shared" si="11"/>
        <v>0</v>
      </c>
      <c r="U20" s="90"/>
      <c r="V20" s="90"/>
      <c r="W20" s="209" t="s">
        <v>26</v>
      </c>
      <c r="X20" s="210"/>
      <c r="Z20" s="124">
        <f t="shared" si="12"/>
        <v>0</v>
      </c>
      <c r="AA20" s="125">
        <f t="shared" si="13"/>
        <v>0</v>
      </c>
      <c r="AB20" s="124">
        <f t="shared" si="14"/>
        <v>0</v>
      </c>
      <c r="AC20" s="124">
        <f t="shared" si="15"/>
        <v>0</v>
      </c>
      <c r="AD20" s="124">
        <f t="shared" si="16"/>
        <v>0</v>
      </c>
      <c r="AE20" s="181">
        <f t="shared" si="17"/>
        <v>0</v>
      </c>
      <c r="AF20" s="5"/>
    </row>
    <row r="21" spans="1:32" ht="18" customHeight="1" x14ac:dyDescent="0.2">
      <c r="A21" s="34">
        <f t="shared" si="2"/>
        <v>4</v>
      </c>
      <c r="B21" s="38">
        <f t="shared" si="18"/>
        <v>45336</v>
      </c>
      <c r="C21" s="39">
        <f t="shared" si="3"/>
        <v>45336</v>
      </c>
      <c r="D21" s="105"/>
      <c r="E21" s="122"/>
      <c r="F21" s="122"/>
      <c r="G21" s="122"/>
      <c r="H21" s="122"/>
      <c r="I21" s="122"/>
      <c r="J21" s="122"/>
      <c r="K21" s="68">
        <f t="shared" si="4"/>
        <v>0</v>
      </c>
      <c r="L21" s="140">
        <f t="shared" si="0"/>
        <v>0</v>
      </c>
      <c r="M21" s="40">
        <f t="shared" si="5"/>
        <v>0</v>
      </c>
      <c r="N21" s="40">
        <f t="shared" si="6"/>
        <v>0</v>
      </c>
      <c r="O21" s="142">
        <f t="shared" si="7"/>
        <v>0</v>
      </c>
      <c r="P21" s="127">
        <f t="shared" si="1"/>
        <v>0.30555555555555552</v>
      </c>
      <c r="Q21" s="134" t="str">
        <f t="shared" si="8"/>
        <v/>
      </c>
      <c r="R21" s="127">
        <f t="shared" si="9"/>
        <v>0.30555555555555552</v>
      </c>
      <c r="S21" s="142">
        <f t="shared" si="10"/>
        <v>0</v>
      </c>
      <c r="T21" s="148">
        <f t="shared" si="11"/>
        <v>0</v>
      </c>
      <c r="U21" s="90"/>
      <c r="V21" s="90"/>
      <c r="W21" s="113" t="s">
        <v>27</v>
      </c>
      <c r="X21" s="184" t="str">
        <f>IF(dia_f="","",dia_f)</f>
        <v/>
      </c>
      <c r="Z21" s="124">
        <f t="shared" si="12"/>
        <v>0</v>
      </c>
      <c r="AA21" s="125">
        <f t="shared" si="13"/>
        <v>0</v>
      </c>
      <c r="AB21" s="124">
        <f t="shared" si="14"/>
        <v>0</v>
      </c>
      <c r="AC21" s="124">
        <f t="shared" si="15"/>
        <v>0</v>
      </c>
      <c r="AD21" s="124">
        <f t="shared" si="16"/>
        <v>0</v>
      </c>
      <c r="AE21" s="181">
        <f t="shared" si="17"/>
        <v>0</v>
      </c>
    </row>
    <row r="22" spans="1:32" ht="18" customHeight="1" x14ac:dyDescent="0.25">
      <c r="A22" s="34">
        <f t="shared" si="2"/>
        <v>5</v>
      </c>
      <c r="B22" s="38">
        <f t="shared" si="18"/>
        <v>45337</v>
      </c>
      <c r="C22" s="39">
        <f t="shared" si="3"/>
        <v>45337</v>
      </c>
      <c r="D22" s="105"/>
      <c r="E22" s="122"/>
      <c r="F22" s="122"/>
      <c r="G22" s="122"/>
      <c r="H22" s="122"/>
      <c r="I22" s="122"/>
      <c r="J22" s="122"/>
      <c r="K22" s="68">
        <f t="shared" si="4"/>
        <v>0</v>
      </c>
      <c r="L22" s="140">
        <f t="shared" si="0"/>
        <v>0</v>
      </c>
      <c r="M22" s="40">
        <f t="shared" si="5"/>
        <v>0</v>
      </c>
      <c r="N22" s="40">
        <f t="shared" si="6"/>
        <v>0</v>
      </c>
      <c r="O22" s="142">
        <f t="shared" si="7"/>
        <v>0</v>
      </c>
      <c r="P22" s="127">
        <f t="shared" si="1"/>
        <v>0.30555555555555552</v>
      </c>
      <c r="Q22" s="134" t="str">
        <f t="shared" si="8"/>
        <v/>
      </c>
      <c r="R22" s="127">
        <f t="shared" si="9"/>
        <v>0.30555555555555552</v>
      </c>
      <c r="S22" s="142">
        <f t="shared" si="10"/>
        <v>0</v>
      </c>
      <c r="T22" s="148">
        <f t="shared" si="11"/>
        <v>0</v>
      </c>
      <c r="U22" s="90"/>
      <c r="V22" s="90"/>
      <c r="W22" s="173"/>
      <c r="X22" s="174"/>
      <c r="Z22" s="124">
        <f t="shared" si="12"/>
        <v>0</v>
      </c>
      <c r="AA22" s="125">
        <f t="shared" si="13"/>
        <v>0</v>
      </c>
      <c r="AB22" s="124">
        <f t="shared" si="14"/>
        <v>0</v>
      </c>
      <c r="AC22" s="124">
        <f t="shared" si="15"/>
        <v>0</v>
      </c>
      <c r="AD22" s="124">
        <f t="shared" si="16"/>
        <v>0</v>
      </c>
      <c r="AE22" s="181">
        <f t="shared" si="17"/>
        <v>0</v>
      </c>
    </row>
    <row r="23" spans="1:32" ht="18" customHeight="1" x14ac:dyDescent="0.25">
      <c r="A23" s="34">
        <f t="shared" si="2"/>
        <v>6</v>
      </c>
      <c r="B23" s="38">
        <f t="shared" si="18"/>
        <v>45338</v>
      </c>
      <c r="C23" s="39">
        <f t="shared" si="3"/>
        <v>45338</v>
      </c>
      <c r="D23" s="105"/>
      <c r="E23" s="122"/>
      <c r="F23" s="122"/>
      <c r="G23" s="122"/>
      <c r="H23" s="122"/>
      <c r="I23" s="122"/>
      <c r="J23" s="122"/>
      <c r="K23" s="68">
        <f t="shared" si="4"/>
        <v>0</v>
      </c>
      <c r="L23" s="140">
        <f t="shared" si="0"/>
        <v>0</v>
      </c>
      <c r="M23" s="40">
        <f t="shared" si="5"/>
        <v>0</v>
      </c>
      <c r="N23" s="40">
        <f t="shared" si="6"/>
        <v>0</v>
      </c>
      <c r="O23" s="142">
        <f t="shared" si="7"/>
        <v>0</v>
      </c>
      <c r="P23" s="127">
        <f t="shared" si="1"/>
        <v>0.30555555555555552</v>
      </c>
      <c r="Q23" s="134" t="str">
        <f t="shared" si="8"/>
        <v/>
      </c>
      <c r="R23" s="127">
        <f t="shared" si="9"/>
        <v>0.30555555555555552</v>
      </c>
      <c r="S23" s="142">
        <f t="shared" si="10"/>
        <v>0</v>
      </c>
      <c r="T23" s="148">
        <f t="shared" si="11"/>
        <v>0</v>
      </c>
      <c r="U23" s="90"/>
      <c r="V23" s="90"/>
      <c r="W23" s="175"/>
      <c r="X23" s="176"/>
      <c r="Z23" s="124">
        <f t="shared" si="12"/>
        <v>0</v>
      </c>
      <c r="AA23" s="125">
        <f t="shared" si="13"/>
        <v>0</v>
      </c>
      <c r="AB23" s="124">
        <f t="shared" si="14"/>
        <v>0</v>
      </c>
      <c r="AC23" s="124">
        <f t="shared" si="15"/>
        <v>0</v>
      </c>
      <c r="AD23" s="124">
        <f t="shared" si="16"/>
        <v>0</v>
      </c>
      <c r="AE23" s="181">
        <f t="shared" si="17"/>
        <v>0</v>
      </c>
      <c r="AF23" s="4"/>
    </row>
    <row r="24" spans="1:32" ht="18" customHeight="1" x14ac:dyDescent="0.2">
      <c r="A24" s="34">
        <f t="shared" si="2"/>
        <v>7</v>
      </c>
      <c r="B24" s="38">
        <f t="shared" si="18"/>
        <v>45339</v>
      </c>
      <c r="C24" s="39">
        <f t="shared" si="3"/>
        <v>45339</v>
      </c>
      <c r="D24" s="105"/>
      <c r="E24" s="122"/>
      <c r="F24" s="122"/>
      <c r="G24" s="122"/>
      <c r="H24" s="122"/>
      <c r="I24" s="122"/>
      <c r="J24" s="122"/>
      <c r="K24" s="68">
        <f t="shared" si="4"/>
        <v>0</v>
      </c>
      <c r="L24" s="140">
        <f t="shared" si="0"/>
        <v>0</v>
      </c>
      <c r="M24" s="40">
        <f t="shared" si="5"/>
        <v>0</v>
      </c>
      <c r="N24" s="40">
        <f t="shared" si="6"/>
        <v>0</v>
      </c>
      <c r="O24" s="142">
        <f t="shared" si="7"/>
        <v>0</v>
      </c>
      <c r="P24" s="127">
        <f t="shared" si="1"/>
        <v>0.30555555555555552</v>
      </c>
      <c r="Q24" s="134" t="str">
        <f t="shared" si="8"/>
        <v/>
      </c>
      <c r="R24" s="127">
        <f t="shared" si="9"/>
        <v>0.30555555555555552</v>
      </c>
      <c r="S24" s="142">
        <f t="shared" si="10"/>
        <v>0</v>
      </c>
      <c r="T24" s="148">
        <f t="shared" si="11"/>
        <v>0</v>
      </c>
      <c r="U24" s="90"/>
      <c r="V24" s="90"/>
      <c r="W24" s="150"/>
      <c r="X24" s="90"/>
      <c r="Z24" s="124">
        <f t="shared" si="12"/>
        <v>0</v>
      </c>
      <c r="AA24" s="125">
        <f t="shared" si="13"/>
        <v>0</v>
      </c>
      <c r="AB24" s="124">
        <f t="shared" si="14"/>
        <v>0</v>
      </c>
      <c r="AC24" s="124">
        <f t="shared" si="15"/>
        <v>0</v>
      </c>
      <c r="AD24" s="124">
        <f t="shared" si="16"/>
        <v>0</v>
      </c>
      <c r="AE24" s="181">
        <f t="shared" si="17"/>
        <v>0</v>
      </c>
    </row>
    <row r="25" spans="1:32" ht="18" customHeight="1" x14ac:dyDescent="0.2">
      <c r="A25" s="34">
        <f t="shared" si="2"/>
        <v>1</v>
      </c>
      <c r="B25" s="38">
        <f t="shared" si="18"/>
        <v>45340</v>
      </c>
      <c r="C25" s="39">
        <f t="shared" si="3"/>
        <v>45340</v>
      </c>
      <c r="D25" s="105"/>
      <c r="E25" s="122"/>
      <c r="F25" s="122"/>
      <c r="G25" s="122"/>
      <c r="H25" s="122"/>
      <c r="I25" s="122"/>
      <c r="J25" s="122"/>
      <c r="K25" s="68">
        <f t="shared" si="4"/>
        <v>0</v>
      </c>
      <c r="L25" s="140">
        <f t="shared" si="0"/>
        <v>0</v>
      </c>
      <c r="M25" s="40">
        <f t="shared" si="5"/>
        <v>0</v>
      </c>
      <c r="N25" s="40">
        <f t="shared" si="6"/>
        <v>0</v>
      </c>
      <c r="O25" s="142">
        <f t="shared" si="7"/>
        <v>0</v>
      </c>
      <c r="P25" s="127">
        <f t="shared" si="1"/>
        <v>0.30555555555555552</v>
      </c>
      <c r="Q25" s="134" t="str">
        <f t="shared" si="8"/>
        <v/>
      </c>
      <c r="R25" s="127">
        <f t="shared" si="9"/>
        <v>0.30555555555555552</v>
      </c>
      <c r="S25" s="142">
        <f t="shared" si="10"/>
        <v>0</v>
      </c>
      <c r="T25" s="148">
        <f t="shared" si="11"/>
        <v>0</v>
      </c>
      <c r="U25" s="90"/>
      <c r="V25" s="90"/>
      <c r="W25" s="169" t="s">
        <v>79</v>
      </c>
      <c r="X25" s="98">
        <f>N39</f>
        <v>0</v>
      </c>
      <c r="Z25" s="124">
        <f t="shared" si="12"/>
        <v>0</v>
      </c>
      <c r="AA25" s="125">
        <f t="shared" si="13"/>
        <v>0</v>
      </c>
      <c r="AB25" s="124">
        <f t="shared" si="14"/>
        <v>0</v>
      </c>
      <c r="AC25" s="124">
        <f t="shared" si="15"/>
        <v>0</v>
      </c>
      <c r="AD25" s="124">
        <f t="shared" si="16"/>
        <v>0</v>
      </c>
      <c r="AE25" s="181">
        <f t="shared" si="17"/>
        <v>0</v>
      </c>
    </row>
    <row r="26" spans="1:32" ht="18" customHeight="1" x14ac:dyDescent="0.2">
      <c r="A26" s="34">
        <f t="shared" si="2"/>
        <v>2</v>
      </c>
      <c r="B26" s="38">
        <f t="shared" si="18"/>
        <v>45341</v>
      </c>
      <c r="C26" s="39">
        <f t="shared" si="3"/>
        <v>45341</v>
      </c>
      <c r="D26" s="105"/>
      <c r="E26" s="122"/>
      <c r="F26" s="122"/>
      <c r="G26" s="122"/>
      <c r="H26" s="122"/>
      <c r="I26" s="122"/>
      <c r="J26" s="122"/>
      <c r="K26" s="68">
        <f t="shared" si="4"/>
        <v>0</v>
      </c>
      <c r="L26" s="140">
        <f t="shared" si="0"/>
        <v>0</v>
      </c>
      <c r="M26" s="40">
        <f t="shared" si="5"/>
        <v>0</v>
      </c>
      <c r="N26" s="40">
        <f t="shared" si="6"/>
        <v>0</v>
      </c>
      <c r="O26" s="142">
        <f t="shared" si="7"/>
        <v>0</v>
      </c>
      <c r="P26" s="127">
        <f t="shared" si="1"/>
        <v>0.30555555555555552</v>
      </c>
      <c r="Q26" s="134" t="str">
        <f t="shared" si="8"/>
        <v/>
      </c>
      <c r="R26" s="127">
        <f t="shared" si="9"/>
        <v>0.30555555555555552</v>
      </c>
      <c r="S26" s="142">
        <f t="shared" si="10"/>
        <v>0</v>
      </c>
      <c r="T26" s="148">
        <f t="shared" si="11"/>
        <v>0</v>
      </c>
      <c r="U26" s="90"/>
      <c r="V26" s="90"/>
      <c r="W26" s="170" t="s">
        <v>74</v>
      </c>
      <c r="X26" s="171">
        <f>O39</f>
        <v>0</v>
      </c>
      <c r="Z26" s="124">
        <f t="shared" si="12"/>
        <v>0</v>
      </c>
      <c r="AA26" s="125">
        <f t="shared" si="13"/>
        <v>0</v>
      </c>
      <c r="AB26" s="124">
        <f t="shared" si="14"/>
        <v>0</v>
      </c>
      <c r="AC26" s="124">
        <f t="shared" si="15"/>
        <v>0</v>
      </c>
      <c r="AD26" s="124">
        <f t="shared" si="16"/>
        <v>0</v>
      </c>
      <c r="AE26" s="181">
        <f t="shared" si="17"/>
        <v>0</v>
      </c>
    </row>
    <row r="27" spans="1:32" ht="18" customHeight="1" x14ac:dyDescent="0.2">
      <c r="A27" s="34">
        <f t="shared" si="2"/>
        <v>3</v>
      </c>
      <c r="B27" s="38">
        <f t="shared" si="18"/>
        <v>45342</v>
      </c>
      <c r="C27" s="39">
        <f t="shared" si="3"/>
        <v>45342</v>
      </c>
      <c r="D27" s="105"/>
      <c r="E27" s="122"/>
      <c r="F27" s="122"/>
      <c r="G27" s="122"/>
      <c r="H27" s="122"/>
      <c r="I27" s="122"/>
      <c r="J27" s="122"/>
      <c r="K27" s="68">
        <f t="shared" si="4"/>
        <v>0</v>
      </c>
      <c r="L27" s="140">
        <f t="shared" si="0"/>
        <v>0</v>
      </c>
      <c r="M27" s="40">
        <f t="shared" si="5"/>
        <v>0</v>
      </c>
      <c r="N27" s="40">
        <f t="shared" si="6"/>
        <v>0</v>
      </c>
      <c r="O27" s="142">
        <f t="shared" si="7"/>
        <v>0</v>
      </c>
      <c r="P27" s="127">
        <f t="shared" si="1"/>
        <v>0.30555555555555552</v>
      </c>
      <c r="Q27" s="134" t="str">
        <f t="shared" si="8"/>
        <v/>
      </c>
      <c r="R27" s="127">
        <f t="shared" si="9"/>
        <v>0.30555555555555552</v>
      </c>
      <c r="S27" s="142">
        <f t="shared" si="10"/>
        <v>0</v>
      </c>
      <c r="T27" s="148">
        <f t="shared" si="11"/>
        <v>0</v>
      </c>
      <c r="U27" s="90"/>
      <c r="V27" s="90"/>
      <c r="W27" s="157" t="s">
        <v>75</v>
      </c>
      <c r="X27" s="158">
        <f>Q39</f>
        <v>0</v>
      </c>
      <c r="Z27" s="124">
        <f t="shared" si="12"/>
        <v>0</v>
      </c>
      <c r="AA27" s="125">
        <f t="shared" si="13"/>
        <v>0</v>
      </c>
      <c r="AB27" s="124">
        <f t="shared" si="14"/>
        <v>0</v>
      </c>
      <c r="AC27" s="124">
        <f t="shared" si="15"/>
        <v>0</v>
      </c>
      <c r="AD27" s="124">
        <f t="shared" si="16"/>
        <v>0</v>
      </c>
      <c r="AE27" s="181">
        <f t="shared" si="17"/>
        <v>0</v>
      </c>
    </row>
    <row r="28" spans="1:32" ht="18" customHeight="1" x14ac:dyDescent="0.2">
      <c r="A28" s="34">
        <f t="shared" si="2"/>
        <v>4</v>
      </c>
      <c r="B28" s="38">
        <f t="shared" si="18"/>
        <v>45343</v>
      </c>
      <c r="C28" s="39">
        <f t="shared" si="3"/>
        <v>45343</v>
      </c>
      <c r="D28" s="105"/>
      <c r="E28" s="122"/>
      <c r="F28" s="122"/>
      <c r="G28" s="122"/>
      <c r="H28" s="122"/>
      <c r="I28" s="122"/>
      <c r="J28" s="122"/>
      <c r="K28" s="68">
        <f t="shared" si="4"/>
        <v>0</v>
      </c>
      <c r="L28" s="140">
        <f t="shared" si="0"/>
        <v>0</v>
      </c>
      <c r="M28" s="40">
        <f t="shared" si="5"/>
        <v>0</v>
      </c>
      <c r="N28" s="40">
        <f t="shared" si="6"/>
        <v>0</v>
      </c>
      <c r="O28" s="142">
        <f t="shared" si="7"/>
        <v>0</v>
      </c>
      <c r="P28" s="127">
        <f t="shared" si="1"/>
        <v>0.30555555555555552</v>
      </c>
      <c r="Q28" s="134" t="str">
        <f t="shared" si="8"/>
        <v/>
      </c>
      <c r="R28" s="127">
        <f t="shared" si="9"/>
        <v>0.30555555555555552</v>
      </c>
      <c r="S28" s="142">
        <f t="shared" si="10"/>
        <v>0</v>
      </c>
      <c r="T28" s="148">
        <f t="shared" si="11"/>
        <v>0</v>
      </c>
      <c r="U28" s="90"/>
      <c r="V28" s="90"/>
      <c r="W28" s="163" t="s">
        <v>76</v>
      </c>
      <c r="X28" s="164">
        <f>R39</f>
        <v>28.713888888888945</v>
      </c>
      <c r="Z28" s="124">
        <f t="shared" si="12"/>
        <v>0</v>
      </c>
      <c r="AA28" s="125">
        <f t="shared" si="13"/>
        <v>0</v>
      </c>
      <c r="AB28" s="124">
        <f t="shared" si="14"/>
        <v>0</v>
      </c>
      <c r="AC28" s="124">
        <f t="shared" si="15"/>
        <v>0</v>
      </c>
      <c r="AD28" s="124">
        <f t="shared" si="16"/>
        <v>0</v>
      </c>
      <c r="AE28" s="181">
        <f t="shared" si="17"/>
        <v>0</v>
      </c>
    </row>
    <row r="29" spans="1:32" ht="18" customHeight="1" x14ac:dyDescent="0.2">
      <c r="A29" s="34">
        <f t="shared" si="2"/>
        <v>5</v>
      </c>
      <c r="B29" s="38">
        <f t="shared" si="18"/>
        <v>45344</v>
      </c>
      <c r="C29" s="39">
        <f t="shared" si="3"/>
        <v>45344</v>
      </c>
      <c r="D29" s="105"/>
      <c r="E29" s="122"/>
      <c r="F29" s="122"/>
      <c r="G29" s="122"/>
      <c r="H29" s="122"/>
      <c r="I29" s="122"/>
      <c r="J29" s="122"/>
      <c r="K29" s="68">
        <f t="shared" si="4"/>
        <v>0</v>
      </c>
      <c r="L29" s="140">
        <f t="shared" si="0"/>
        <v>0</v>
      </c>
      <c r="M29" s="40">
        <f t="shared" si="5"/>
        <v>0</v>
      </c>
      <c r="N29" s="40">
        <f t="shared" si="6"/>
        <v>0</v>
      </c>
      <c r="O29" s="142">
        <f t="shared" si="7"/>
        <v>0</v>
      </c>
      <c r="P29" s="127">
        <f t="shared" si="1"/>
        <v>0.30555555555555552</v>
      </c>
      <c r="Q29" s="134" t="str">
        <f t="shared" si="8"/>
        <v/>
      </c>
      <c r="R29" s="127">
        <f t="shared" si="9"/>
        <v>0.30555555555555552</v>
      </c>
      <c r="S29" s="142">
        <f t="shared" si="10"/>
        <v>0</v>
      </c>
      <c r="T29" s="148">
        <f t="shared" si="11"/>
        <v>0</v>
      </c>
      <c r="U29" s="90"/>
      <c r="V29" s="90"/>
      <c r="W29" s="157" t="s">
        <v>77</v>
      </c>
      <c r="X29" s="158">
        <f>S39</f>
        <v>0</v>
      </c>
      <c r="Z29" s="124">
        <f t="shared" si="12"/>
        <v>0</v>
      </c>
      <c r="AA29" s="125">
        <f t="shared" si="13"/>
        <v>0</v>
      </c>
      <c r="AB29" s="124">
        <f t="shared" si="14"/>
        <v>0</v>
      </c>
      <c r="AC29" s="124">
        <f t="shared" si="15"/>
        <v>0</v>
      </c>
      <c r="AD29" s="124">
        <f t="shared" si="16"/>
        <v>0</v>
      </c>
      <c r="AE29" s="181">
        <f t="shared" si="17"/>
        <v>0</v>
      </c>
    </row>
    <row r="30" spans="1:32" ht="18" customHeight="1" x14ac:dyDescent="0.2">
      <c r="A30" s="34">
        <f t="shared" si="2"/>
        <v>6</v>
      </c>
      <c r="B30" s="38">
        <f t="shared" si="18"/>
        <v>45345</v>
      </c>
      <c r="C30" s="39">
        <f t="shared" si="3"/>
        <v>45345</v>
      </c>
      <c r="D30" s="105"/>
      <c r="E30" s="122"/>
      <c r="F30" s="122"/>
      <c r="G30" s="122"/>
      <c r="H30" s="122"/>
      <c r="I30" s="122"/>
      <c r="J30" s="122"/>
      <c r="K30" s="68">
        <f t="shared" si="4"/>
        <v>0</v>
      </c>
      <c r="L30" s="140">
        <f t="shared" si="0"/>
        <v>0</v>
      </c>
      <c r="M30" s="40">
        <f t="shared" si="5"/>
        <v>0</v>
      </c>
      <c r="N30" s="40">
        <f t="shared" si="6"/>
        <v>0</v>
      </c>
      <c r="O30" s="142">
        <f t="shared" si="7"/>
        <v>0</v>
      </c>
      <c r="P30" s="127">
        <f t="shared" si="1"/>
        <v>0.30555555555555552</v>
      </c>
      <c r="Q30" s="134" t="str">
        <f t="shared" si="8"/>
        <v/>
      </c>
      <c r="R30" s="127">
        <f t="shared" si="9"/>
        <v>0.30555555555555552</v>
      </c>
      <c r="S30" s="142">
        <f t="shared" si="10"/>
        <v>0</v>
      </c>
      <c r="T30" s="148">
        <f t="shared" si="11"/>
        <v>0</v>
      </c>
      <c r="U30" s="90"/>
      <c r="V30" s="90"/>
      <c r="W30" s="165" t="s">
        <v>78</v>
      </c>
      <c r="X30" s="166">
        <f>T39</f>
        <v>0</v>
      </c>
      <c r="Z30" s="124">
        <f t="shared" si="12"/>
        <v>0</v>
      </c>
      <c r="AA30" s="125">
        <f t="shared" si="13"/>
        <v>0</v>
      </c>
      <c r="AB30" s="124">
        <f t="shared" si="14"/>
        <v>0</v>
      </c>
      <c r="AC30" s="124">
        <f t="shared" si="15"/>
        <v>0</v>
      </c>
      <c r="AD30" s="124">
        <f t="shared" si="16"/>
        <v>0</v>
      </c>
      <c r="AE30" s="181">
        <f t="shared" si="17"/>
        <v>0</v>
      </c>
    </row>
    <row r="31" spans="1:32" ht="18" customHeight="1" x14ac:dyDescent="0.2">
      <c r="A31" s="34">
        <f t="shared" si="2"/>
        <v>7</v>
      </c>
      <c r="B31" s="38">
        <f t="shared" si="18"/>
        <v>45346</v>
      </c>
      <c r="C31" s="39">
        <f>IF(B31="","",IF(COUNTIF(fer,B31)&gt;0,"feriado",B31))</f>
        <v>45346</v>
      </c>
      <c r="D31" s="105"/>
      <c r="E31" s="122"/>
      <c r="F31" s="122"/>
      <c r="G31" s="122"/>
      <c r="H31" s="122"/>
      <c r="I31" s="122"/>
      <c r="J31" s="122"/>
      <c r="K31" s="68">
        <f t="shared" si="4"/>
        <v>0</v>
      </c>
      <c r="L31" s="140">
        <f t="shared" si="0"/>
        <v>0</v>
      </c>
      <c r="M31" s="40">
        <f t="shared" si="5"/>
        <v>0</v>
      </c>
      <c r="N31" s="40">
        <f t="shared" si="6"/>
        <v>0</v>
      </c>
      <c r="O31" s="142">
        <f t="shared" si="7"/>
        <v>0</v>
      </c>
      <c r="P31" s="127">
        <f t="shared" si="1"/>
        <v>0.30555555555555552</v>
      </c>
      <c r="Q31" s="134" t="str">
        <f t="shared" si="8"/>
        <v/>
      </c>
      <c r="R31" s="127">
        <f t="shared" si="9"/>
        <v>0.30555555555555552</v>
      </c>
      <c r="S31" s="142">
        <f t="shared" si="10"/>
        <v>0</v>
      </c>
      <c r="T31" s="148">
        <f t="shared" si="11"/>
        <v>0</v>
      </c>
      <c r="U31" s="90"/>
      <c r="V31" s="90"/>
      <c r="W31" s="90"/>
      <c r="X31" s="90"/>
      <c r="Z31" s="124">
        <f t="shared" si="12"/>
        <v>0</v>
      </c>
      <c r="AA31" s="125">
        <f t="shared" si="13"/>
        <v>0</v>
      </c>
      <c r="AB31" s="124">
        <f t="shared" si="14"/>
        <v>0</v>
      </c>
      <c r="AC31" s="124">
        <f t="shared" si="15"/>
        <v>0</v>
      </c>
      <c r="AD31" s="124">
        <f t="shared" si="16"/>
        <v>0</v>
      </c>
      <c r="AE31" s="181">
        <f t="shared" si="17"/>
        <v>0</v>
      </c>
    </row>
    <row r="32" spans="1:32" ht="18" customHeight="1" x14ac:dyDescent="0.2">
      <c r="A32" s="34">
        <f t="shared" si="2"/>
        <v>1</v>
      </c>
      <c r="B32" s="38">
        <f t="shared" si="18"/>
        <v>45347</v>
      </c>
      <c r="C32" s="39">
        <f t="shared" si="3"/>
        <v>45347</v>
      </c>
      <c r="D32" s="105"/>
      <c r="E32" s="122"/>
      <c r="F32" s="122"/>
      <c r="G32" s="122"/>
      <c r="H32" s="122"/>
      <c r="I32" s="122"/>
      <c r="J32" s="122"/>
      <c r="K32" s="68">
        <f t="shared" si="4"/>
        <v>0</v>
      </c>
      <c r="L32" s="140">
        <f t="shared" si="0"/>
        <v>0</v>
      </c>
      <c r="M32" s="40">
        <f t="shared" si="5"/>
        <v>0</v>
      </c>
      <c r="N32" s="40">
        <f t="shared" si="6"/>
        <v>0</v>
      </c>
      <c r="O32" s="142">
        <f t="shared" si="7"/>
        <v>0</v>
      </c>
      <c r="P32" s="127">
        <f t="shared" si="1"/>
        <v>0.30555555555555552</v>
      </c>
      <c r="Q32" s="134" t="str">
        <f t="shared" si="8"/>
        <v/>
      </c>
      <c r="R32" s="127">
        <f t="shared" si="9"/>
        <v>0.30555555555555552</v>
      </c>
      <c r="S32" s="142">
        <f t="shared" si="10"/>
        <v>0</v>
      </c>
      <c r="T32" s="148">
        <f t="shared" si="11"/>
        <v>0</v>
      </c>
      <c r="U32" s="90"/>
      <c r="V32" s="90"/>
      <c r="W32" s="159" t="str">
        <f>IF(X28-X29=0,0,(IF(X28-X29&lt;0,"Horas Extras","Horas Compensadas")))</f>
        <v>Horas Compensadas</v>
      </c>
      <c r="X32" s="168">
        <f>IF(X28-X29&lt;0,(X28*-1)-(X29*-1),X28-X29)</f>
        <v>28.713888888888945</v>
      </c>
      <c r="Z32" s="124">
        <f t="shared" si="12"/>
        <v>0</v>
      </c>
      <c r="AA32" s="125">
        <f t="shared" si="13"/>
        <v>0</v>
      </c>
      <c r="AB32" s="124">
        <f t="shared" si="14"/>
        <v>0</v>
      </c>
      <c r="AC32" s="124">
        <f t="shared" si="15"/>
        <v>0</v>
      </c>
      <c r="AD32" s="124">
        <f t="shared" si="16"/>
        <v>0</v>
      </c>
      <c r="AE32" s="181">
        <f t="shared" si="17"/>
        <v>0</v>
      </c>
    </row>
    <row r="33" spans="1:31" ht="18" customHeight="1" x14ac:dyDescent="0.2">
      <c r="A33" s="34">
        <f t="shared" si="2"/>
        <v>2</v>
      </c>
      <c r="B33" s="38">
        <f t="shared" si="18"/>
        <v>45348</v>
      </c>
      <c r="C33" s="39">
        <f t="shared" si="3"/>
        <v>45348</v>
      </c>
      <c r="D33" s="105"/>
      <c r="E33" s="122"/>
      <c r="F33" s="122"/>
      <c r="G33" s="122"/>
      <c r="H33" s="122"/>
      <c r="I33" s="122"/>
      <c r="J33" s="122"/>
      <c r="K33" s="68">
        <f t="shared" si="4"/>
        <v>0</v>
      </c>
      <c r="L33" s="140">
        <f t="shared" si="0"/>
        <v>0</v>
      </c>
      <c r="M33" s="40">
        <f t="shared" si="5"/>
        <v>0</v>
      </c>
      <c r="N33" s="40">
        <f t="shared" si="6"/>
        <v>0</v>
      </c>
      <c r="O33" s="142">
        <f t="shared" si="7"/>
        <v>0</v>
      </c>
      <c r="P33" s="127">
        <f t="shared" si="1"/>
        <v>0.30555555555555552</v>
      </c>
      <c r="Q33" s="134" t="str">
        <f t="shared" si="8"/>
        <v/>
      </c>
      <c r="R33" s="127">
        <f t="shared" si="9"/>
        <v>0.30555555555555552</v>
      </c>
      <c r="S33" s="142">
        <f t="shared" si="10"/>
        <v>0</v>
      </c>
      <c r="T33" s="148">
        <f t="shared" si="11"/>
        <v>0</v>
      </c>
      <c r="U33" s="90"/>
      <c r="V33" s="90"/>
      <c r="W33" s="90"/>
      <c r="X33" s="90"/>
      <c r="Z33" s="124">
        <f t="shared" si="12"/>
        <v>0</v>
      </c>
      <c r="AA33" s="125">
        <f t="shared" si="13"/>
        <v>0</v>
      </c>
      <c r="AB33" s="124">
        <f t="shared" si="14"/>
        <v>0</v>
      </c>
      <c r="AC33" s="124">
        <f t="shared" si="15"/>
        <v>0</v>
      </c>
      <c r="AD33" s="124">
        <f t="shared" si="16"/>
        <v>0</v>
      </c>
      <c r="AE33" s="181">
        <f t="shared" si="17"/>
        <v>0</v>
      </c>
    </row>
    <row r="34" spans="1:31" ht="18" customHeight="1" x14ac:dyDescent="0.2">
      <c r="A34" s="34">
        <f t="shared" si="2"/>
        <v>3</v>
      </c>
      <c r="B34" s="38">
        <f t="shared" si="18"/>
        <v>45349</v>
      </c>
      <c r="C34" s="39">
        <f t="shared" si="3"/>
        <v>45349</v>
      </c>
      <c r="D34" s="105"/>
      <c r="E34" s="122"/>
      <c r="F34" s="122"/>
      <c r="G34" s="122"/>
      <c r="H34" s="122"/>
      <c r="I34" s="122"/>
      <c r="J34" s="122"/>
      <c r="K34" s="68">
        <f t="shared" si="4"/>
        <v>0</v>
      </c>
      <c r="L34" s="140">
        <f t="shared" si="0"/>
        <v>0</v>
      </c>
      <c r="M34" s="40">
        <f t="shared" si="5"/>
        <v>0</v>
      </c>
      <c r="N34" s="40">
        <f t="shared" si="6"/>
        <v>0</v>
      </c>
      <c r="O34" s="142">
        <f t="shared" si="7"/>
        <v>0</v>
      </c>
      <c r="P34" s="127">
        <f t="shared" si="1"/>
        <v>0.30555555555555552</v>
      </c>
      <c r="Q34" s="134" t="str">
        <f t="shared" si="8"/>
        <v/>
      </c>
      <c r="R34" s="127">
        <f t="shared" si="9"/>
        <v>0.30555555555555552</v>
      </c>
      <c r="S34" s="142">
        <f t="shared" si="10"/>
        <v>0</v>
      </c>
      <c r="T34" s="148">
        <f t="shared" si="11"/>
        <v>0</v>
      </c>
      <c r="U34" s="90"/>
      <c r="V34" s="90"/>
      <c r="W34" s="90"/>
      <c r="X34" s="90"/>
      <c r="Z34" s="124">
        <f t="shared" si="12"/>
        <v>0</v>
      </c>
      <c r="AA34" s="125">
        <f t="shared" si="13"/>
        <v>0</v>
      </c>
      <c r="AB34" s="124">
        <f t="shared" si="14"/>
        <v>0</v>
      </c>
      <c r="AC34" s="124">
        <f t="shared" si="15"/>
        <v>0</v>
      </c>
      <c r="AD34" s="124">
        <f t="shared" si="16"/>
        <v>0</v>
      </c>
      <c r="AE34" s="181">
        <f t="shared" si="17"/>
        <v>0</v>
      </c>
    </row>
    <row r="35" spans="1:31" ht="18" customHeight="1" x14ac:dyDescent="0.2">
      <c r="A35" s="34">
        <f t="shared" si="2"/>
        <v>4</v>
      </c>
      <c r="B35" s="38">
        <f t="shared" si="18"/>
        <v>45350</v>
      </c>
      <c r="C35" s="39">
        <f t="shared" si="3"/>
        <v>45350</v>
      </c>
      <c r="D35" s="105"/>
      <c r="E35" s="122"/>
      <c r="F35" s="122"/>
      <c r="G35" s="122"/>
      <c r="H35" s="122"/>
      <c r="I35" s="122"/>
      <c r="J35" s="122"/>
      <c r="K35" s="68">
        <f t="shared" si="4"/>
        <v>0</v>
      </c>
      <c r="L35" s="140">
        <f t="shared" si="0"/>
        <v>0</v>
      </c>
      <c r="M35" s="40">
        <f t="shared" si="5"/>
        <v>0</v>
      </c>
      <c r="N35" s="40">
        <f t="shared" si="6"/>
        <v>0</v>
      </c>
      <c r="O35" s="142">
        <f t="shared" si="7"/>
        <v>0</v>
      </c>
      <c r="P35" s="127">
        <f t="shared" si="1"/>
        <v>0.30555555555555552</v>
      </c>
      <c r="Q35" s="134" t="str">
        <f t="shared" si="8"/>
        <v/>
      </c>
      <c r="R35" s="127">
        <f t="shared" si="9"/>
        <v>0.30555555555555552</v>
      </c>
      <c r="S35" s="142">
        <f t="shared" si="10"/>
        <v>0</v>
      </c>
      <c r="T35" s="148">
        <f t="shared" si="11"/>
        <v>0</v>
      </c>
      <c r="U35" s="90"/>
      <c r="V35" s="90"/>
      <c r="W35" s="90"/>
      <c r="X35" s="90"/>
      <c r="Z35" s="124">
        <f t="shared" si="12"/>
        <v>0</v>
      </c>
      <c r="AA35" s="125">
        <f t="shared" si="13"/>
        <v>0</v>
      </c>
      <c r="AB35" s="124">
        <f t="shared" si="14"/>
        <v>0</v>
      </c>
      <c r="AC35" s="124">
        <f t="shared" si="15"/>
        <v>0</v>
      </c>
      <c r="AD35" s="124">
        <f t="shared" si="16"/>
        <v>0</v>
      </c>
      <c r="AE35" s="181">
        <f t="shared" si="17"/>
        <v>0</v>
      </c>
    </row>
    <row r="36" spans="1:31" ht="18" customHeight="1" x14ac:dyDescent="0.2">
      <c r="A36" s="34">
        <f t="shared" si="2"/>
        <v>5</v>
      </c>
      <c r="B36" s="38">
        <f>IF(B35="","",IF(B35&gt;=W117,"",B35+1))</f>
        <v>45351</v>
      </c>
      <c r="C36" s="39">
        <f t="shared" si="3"/>
        <v>45351</v>
      </c>
      <c r="D36" s="105"/>
      <c r="E36" s="122"/>
      <c r="F36" s="122"/>
      <c r="G36" s="122"/>
      <c r="H36" s="122"/>
      <c r="I36" s="122"/>
      <c r="J36" s="122"/>
      <c r="K36" s="68">
        <f t="shared" si="4"/>
        <v>0</v>
      </c>
      <c r="L36" s="140">
        <f t="shared" si="0"/>
        <v>0</v>
      </c>
      <c r="M36" s="40">
        <f t="shared" si="5"/>
        <v>0</v>
      </c>
      <c r="N36" s="40">
        <f t="shared" si="6"/>
        <v>0</v>
      </c>
      <c r="O36" s="142">
        <f t="shared" si="7"/>
        <v>0</v>
      </c>
      <c r="P36" s="127">
        <f t="shared" si="1"/>
        <v>0.30555555555555552</v>
      </c>
      <c r="Q36" s="134" t="str">
        <f t="shared" si="8"/>
        <v/>
      </c>
      <c r="R36" s="127">
        <f t="shared" si="9"/>
        <v>0.30555555555555552</v>
      </c>
      <c r="S36" s="142">
        <f t="shared" si="10"/>
        <v>0</v>
      </c>
      <c r="T36" s="148">
        <f t="shared" si="11"/>
        <v>0</v>
      </c>
      <c r="U36" s="90"/>
      <c r="V36" s="90"/>
      <c r="W36" s="90"/>
      <c r="X36" s="90"/>
      <c r="Z36" s="124">
        <f t="shared" si="12"/>
        <v>0</v>
      </c>
      <c r="AA36" s="125">
        <f t="shared" si="13"/>
        <v>0</v>
      </c>
      <c r="AB36" s="124">
        <f t="shared" si="14"/>
        <v>0</v>
      </c>
      <c r="AC36" s="124">
        <f t="shared" si="15"/>
        <v>0</v>
      </c>
      <c r="AD36" s="124">
        <f t="shared" si="16"/>
        <v>0</v>
      </c>
      <c r="AE36" s="181">
        <f t="shared" si="17"/>
        <v>0</v>
      </c>
    </row>
    <row r="37" spans="1:31" ht="18" customHeight="1" x14ac:dyDescent="0.2">
      <c r="A37" s="34" t="str">
        <f t="shared" si="2"/>
        <v/>
      </c>
      <c r="B37" s="38" t="str">
        <f>IF(B36="","",IF(B36&gt;=W117,"",B36+1))</f>
        <v/>
      </c>
      <c r="C37" s="39" t="str">
        <f t="shared" si="3"/>
        <v/>
      </c>
      <c r="D37" s="105"/>
      <c r="E37" s="122"/>
      <c r="F37" s="122"/>
      <c r="G37" s="122"/>
      <c r="H37" s="122"/>
      <c r="I37" s="122"/>
      <c r="J37" s="122"/>
      <c r="K37" s="68" t="str">
        <f t="shared" si="4"/>
        <v/>
      </c>
      <c r="L37" s="140" t="str">
        <f t="shared" si="0"/>
        <v/>
      </c>
      <c r="M37" s="40" t="str">
        <f t="shared" si="5"/>
        <v/>
      </c>
      <c r="N37" s="40" t="str">
        <f t="shared" si="6"/>
        <v/>
      </c>
      <c r="O37" s="142" t="str">
        <f t="shared" si="7"/>
        <v/>
      </c>
      <c r="P37" s="127" t="str">
        <f t="shared" si="1"/>
        <v/>
      </c>
      <c r="Q37" s="134" t="str">
        <f t="shared" si="8"/>
        <v/>
      </c>
      <c r="R37" s="127" t="str">
        <f t="shared" si="9"/>
        <v/>
      </c>
      <c r="S37" s="142" t="str">
        <f t="shared" si="10"/>
        <v/>
      </c>
      <c r="T37" s="148" t="str">
        <f t="shared" si="11"/>
        <v/>
      </c>
      <c r="U37" s="90"/>
      <c r="V37" s="90"/>
      <c r="W37" s="90"/>
      <c r="X37" s="90"/>
      <c r="Z37" s="124" t="str">
        <f t="shared" si="12"/>
        <v/>
      </c>
      <c r="AA37" s="125" t="str">
        <f t="shared" si="13"/>
        <v/>
      </c>
      <c r="AB37" s="124" t="str">
        <f t="shared" si="14"/>
        <v/>
      </c>
      <c r="AC37" s="124" t="str">
        <f t="shared" si="15"/>
        <v/>
      </c>
      <c r="AD37" s="124" t="str">
        <f t="shared" si="16"/>
        <v/>
      </c>
      <c r="AE37" s="181" t="str">
        <f t="shared" si="17"/>
        <v/>
      </c>
    </row>
    <row r="38" spans="1:31" ht="18" customHeight="1" x14ac:dyDescent="0.2">
      <c r="A38" s="34" t="str">
        <f t="shared" si="2"/>
        <v/>
      </c>
      <c r="B38" s="41" t="str">
        <f>IF(B37="","",IF(B37&gt;=W117,"",B37+1))</f>
        <v/>
      </c>
      <c r="C38" s="42" t="str">
        <f t="shared" si="3"/>
        <v/>
      </c>
      <c r="D38" s="106"/>
      <c r="E38" s="123"/>
      <c r="F38" s="122"/>
      <c r="G38" s="122"/>
      <c r="H38" s="123"/>
      <c r="I38" s="123"/>
      <c r="J38" s="123"/>
      <c r="K38" s="75" t="str">
        <f t="shared" si="4"/>
        <v/>
      </c>
      <c r="L38" s="75" t="str">
        <f t="shared" si="0"/>
        <v/>
      </c>
      <c r="M38" s="43" t="str">
        <f t="shared" si="5"/>
        <v/>
      </c>
      <c r="N38" s="43" t="str">
        <f t="shared" si="6"/>
        <v/>
      </c>
      <c r="O38" s="44" t="str">
        <f>IF(B38="","",MOD((AA38-Z38)+(AC38-AB38)+(AE38-AD38),1)+M38)</f>
        <v/>
      </c>
      <c r="P38" s="126" t="str">
        <f t="shared" si="1"/>
        <v/>
      </c>
      <c r="Q38" s="134" t="str">
        <f t="shared" si="8"/>
        <v/>
      </c>
      <c r="R38" s="127" t="str">
        <f t="shared" si="9"/>
        <v/>
      </c>
      <c r="S38" s="44" t="str">
        <f>IF(B38="","",IF(AND(WEEKDAY(B38,1)=7,P38=0,D38&lt;&gt;"F"),MAX(0,O38-P38),IF(P38=0,0,MAX(0,O38-P38))))</f>
        <v/>
      </c>
      <c r="T38" s="45" t="str">
        <f>IF(B38="","",IF(AND(WEEKDAY(B38,1)=7,P38=0,D38="F"),0,IF(P38=0,O38,0)))</f>
        <v/>
      </c>
      <c r="U38" s="90"/>
      <c r="V38" s="90"/>
      <c r="W38" s="90"/>
      <c r="X38" s="90"/>
      <c r="Z38" s="124" t="str">
        <f t="shared" si="12"/>
        <v/>
      </c>
      <c r="AA38" s="125" t="str">
        <f t="shared" si="13"/>
        <v/>
      </c>
      <c r="AB38" s="124" t="str">
        <f t="shared" si="14"/>
        <v/>
      </c>
      <c r="AC38" s="124" t="str">
        <f t="shared" si="15"/>
        <v/>
      </c>
      <c r="AD38" s="124" t="str">
        <f t="shared" si="16"/>
        <v/>
      </c>
      <c r="AE38" s="181" t="str">
        <f t="shared" si="17"/>
        <v/>
      </c>
    </row>
    <row r="39" spans="1:31" ht="18" customHeight="1" x14ac:dyDescent="0.2">
      <c r="B39" s="54" t="s">
        <v>24</v>
      </c>
      <c r="C39" s="54" t="s">
        <v>25</v>
      </c>
      <c r="D39" s="54"/>
      <c r="E39" s="54" t="s">
        <v>30</v>
      </c>
      <c r="F39" s="54" t="s">
        <v>31</v>
      </c>
      <c r="G39" s="54" t="s">
        <v>32</v>
      </c>
      <c r="H39" s="54" t="s">
        <v>33</v>
      </c>
      <c r="I39" s="61"/>
      <c r="J39" s="61"/>
      <c r="K39" s="61" t="s">
        <v>34</v>
      </c>
      <c r="L39" s="62" t="s">
        <v>35</v>
      </c>
      <c r="M39" s="63" t="s">
        <v>36</v>
      </c>
      <c r="N39" s="64">
        <f>SUM(N8:N38)</f>
        <v>0</v>
      </c>
      <c r="O39" s="64">
        <f>SUM(O8:O38)</f>
        <v>0</v>
      </c>
      <c r="P39" s="59" t="s">
        <v>36</v>
      </c>
      <c r="Q39" s="64">
        <f>SUM(Q8:Q38)</f>
        <v>0</v>
      </c>
      <c r="R39" s="64">
        <f>SUM(R7:R38)</f>
        <v>28.713888888888945</v>
      </c>
      <c r="S39" s="64">
        <f>SUM(S7:S38)</f>
        <v>0</v>
      </c>
      <c r="T39" s="64">
        <f>SUM(T8:T38)</f>
        <v>0</v>
      </c>
      <c r="U39" s="91"/>
      <c r="V39" s="91"/>
      <c r="W39" s="91"/>
      <c r="X39" s="91"/>
    </row>
    <row r="40" spans="1:31" ht="18" customHeight="1" x14ac:dyDescent="0.2">
      <c r="B40" s="55">
        <f>B8</f>
        <v>45323</v>
      </c>
      <c r="C40" s="55">
        <f>MAX(B8:B38)</f>
        <v>45351</v>
      </c>
      <c r="D40" s="55"/>
      <c r="E40" s="56">
        <f>COUNTIF(C8:C38,"feriado")</f>
        <v>0</v>
      </c>
      <c r="F40" s="57">
        <f ca="1">SUMPRODUCT((WEEKDAY(ROW(INDIRECT($B40&amp;":"&amp;$C40)))=1)*(COUNTIF(fer,ROW(INDIRECT($B40&amp;":"&amp;$C40)))=0))</f>
        <v>4</v>
      </c>
      <c r="G40" s="57">
        <f>C40-B40+1</f>
        <v>29</v>
      </c>
      <c r="H40" s="57">
        <f ca="1">G40-K40</f>
        <v>25</v>
      </c>
      <c r="I40" s="60"/>
      <c r="J40" s="60"/>
      <c r="K40" s="60">
        <f ca="1">E40+F40</f>
        <v>4</v>
      </c>
      <c r="L40" s="65" t="str">
        <f ca="1">H40&amp;"/"&amp;K40</f>
        <v>25/4</v>
      </c>
      <c r="M40" s="66" t="s">
        <v>37</v>
      </c>
      <c r="N40" s="58">
        <f>N39*24</f>
        <v>0</v>
      </c>
      <c r="O40" s="58">
        <f>O39*24</f>
        <v>0</v>
      </c>
      <c r="P40" s="59" t="s">
        <v>37</v>
      </c>
      <c r="Q40" s="58">
        <f t="shared" ref="Q40:R40" si="19">Q39*24</f>
        <v>0</v>
      </c>
      <c r="R40" s="58">
        <f t="shared" si="19"/>
        <v>689.13333333333469</v>
      </c>
      <c r="S40" s="58">
        <f>S39*24</f>
        <v>0</v>
      </c>
      <c r="T40" s="58">
        <f>T39*24</f>
        <v>0</v>
      </c>
      <c r="U40" s="92"/>
      <c r="V40" s="92"/>
      <c r="W40" s="92"/>
      <c r="X40" s="92"/>
    </row>
    <row r="41" spans="1:31" ht="18" customHeight="1" x14ac:dyDescent="0.2">
      <c r="B41" s="114" t="str">
        <f>IF(dia_f="","",DATE(YEAR(W117),MONTH(W117),1))</f>
        <v/>
      </c>
      <c r="C41" s="115" t="str">
        <f>IF(dia_f="","",EOMONTH(B41,0))</f>
        <v/>
      </c>
      <c r="D41" s="67"/>
      <c r="E41" s="56" t="str">
        <f>IF(B41="","",SUMPRODUCT(((WEEKDAY(fer)&gt;1))*(fer&gt;=B41)*(fer&lt;=C41)))</f>
        <v/>
      </c>
      <c r="F41" s="57" t="str">
        <f ca="1">IF(B41="","",SUMPRODUCT((WEEKDAY(ROW(INDIRECT($B41&amp;":"&amp;$C41)))=1)*1))</f>
        <v/>
      </c>
      <c r="G41" s="107" t="str">
        <f>IF(B41="","",DAY(C41))</f>
        <v/>
      </c>
      <c r="H41" s="107" t="str">
        <f ca="1">IF(B41="","",SUMPRODUCT((WEEKDAY(ROW(INDIRECT(B41&amp;":"&amp;C41)))&gt;1)*(COUNTIF(fer,ROW(INDIRECT(B41&amp;":"&amp;C41)))=0)))</f>
        <v/>
      </c>
      <c r="I41" s="107"/>
      <c r="J41" s="107"/>
      <c r="K41" s="60" t="str">
        <f>IF(B41="","",E41+F41)</f>
        <v/>
      </c>
      <c r="L41" s="65" t="str">
        <f>IF(B41="","",H41&amp;"/"&amp;K41)</f>
        <v/>
      </c>
      <c r="M41" s="67" t="s">
        <v>38</v>
      </c>
      <c r="N41" s="58">
        <f ca="1">N40/$H$40*$K$40</f>
        <v>0</v>
      </c>
      <c r="O41" s="152"/>
      <c r="P41" s="153"/>
      <c r="Q41" s="153"/>
      <c r="R41" s="153"/>
      <c r="S41" s="154"/>
      <c r="T41" s="154"/>
      <c r="U41" s="92"/>
      <c r="V41" s="92"/>
      <c r="W41" s="92"/>
      <c r="X41" s="92"/>
    </row>
    <row r="42" spans="1:31" ht="18" customHeight="1" x14ac:dyDescent="0.2">
      <c r="M42" s="117" t="str">
        <f>IF(B41="","","Dsr mês:")</f>
        <v/>
      </c>
      <c r="N42" s="188" t="str">
        <f>IF(B41="","",N40/H41*K41)</f>
        <v/>
      </c>
      <c r="O42" s="206" t="str">
        <f>IF(B41="","","Dsr mês:")</f>
        <v/>
      </c>
      <c r="P42" s="206"/>
      <c r="Q42" s="151"/>
      <c r="R42" s="151"/>
      <c r="S42" s="92" t="str">
        <f>IF(B41="","",S40/$H$41*$K$41)</f>
        <v/>
      </c>
      <c r="T42" s="92" t="str">
        <f>IF(B41="","",T40/$H$41*$K$41)</f>
        <v/>
      </c>
    </row>
    <row r="44" spans="1:31" ht="18.75" x14ac:dyDescent="0.2">
      <c r="C44" s="70"/>
      <c r="D44" s="120"/>
      <c r="H44" s="1"/>
      <c r="I44" s="1"/>
      <c r="J44" s="1"/>
      <c r="K44" s="1"/>
      <c r="L44" s="1"/>
      <c r="M44" s="1"/>
      <c r="N44" s="1"/>
    </row>
    <row r="45" spans="1:31" x14ac:dyDescent="0.2">
      <c r="D45" s="135"/>
    </row>
    <row r="47" spans="1:31" x14ac:dyDescent="0.2">
      <c r="D47" s="136"/>
    </row>
    <row r="48" spans="1:31" x14ac:dyDescent="0.2">
      <c r="D48" s="136"/>
    </row>
    <row r="116" spans="4:24" x14ac:dyDescent="0.2">
      <c r="W116" s="73">
        <f>B8</f>
        <v>45323</v>
      </c>
      <c r="X116" s="69" t="s">
        <v>39</v>
      </c>
    </row>
    <row r="117" spans="4:24" x14ac:dyDescent="0.2">
      <c r="W117" s="73">
        <f>IF(DAY(B8)=1,EOMONTH(B8,0),DATE(YEAR(B8),MONTH(B8)+1,dia_f))</f>
        <v>45351</v>
      </c>
      <c r="X117" s="69" t="s">
        <v>40</v>
      </c>
    </row>
    <row r="119" spans="4:24" x14ac:dyDescent="0.2">
      <c r="D119" s="69" t="s">
        <v>41</v>
      </c>
      <c r="F119" s="69" t="s">
        <v>42</v>
      </c>
    </row>
    <row r="120" spans="4:24" x14ac:dyDescent="0.2">
      <c r="D120" s="116">
        <v>1</v>
      </c>
      <c r="F120" s="118">
        <v>2020</v>
      </c>
    </row>
    <row r="121" spans="4:24" x14ac:dyDescent="0.2">
      <c r="D121" s="119">
        <v>2</v>
      </c>
      <c r="F121" s="118">
        <v>2021</v>
      </c>
    </row>
    <row r="122" spans="4:24" x14ac:dyDescent="0.2">
      <c r="D122" s="119">
        <v>3</v>
      </c>
      <c r="F122" s="118">
        <v>2022</v>
      </c>
    </row>
    <row r="123" spans="4:24" x14ac:dyDescent="0.2">
      <c r="D123" s="120">
        <v>4</v>
      </c>
      <c r="F123" s="118">
        <v>2023</v>
      </c>
    </row>
    <row r="124" spans="4:24" x14ac:dyDescent="0.2">
      <c r="D124" s="120">
        <v>5</v>
      </c>
      <c r="F124" s="118">
        <v>2024</v>
      </c>
    </row>
    <row r="125" spans="4:24" x14ac:dyDescent="0.2">
      <c r="D125" s="120">
        <v>6</v>
      </c>
      <c r="F125" s="118">
        <v>2025</v>
      </c>
    </row>
    <row r="126" spans="4:24" x14ac:dyDescent="0.2">
      <c r="D126" s="120">
        <v>7</v>
      </c>
      <c r="F126" s="118">
        <v>2026</v>
      </c>
    </row>
    <row r="127" spans="4:24" x14ac:dyDescent="0.2">
      <c r="D127" s="120">
        <v>8</v>
      </c>
      <c r="F127" s="118">
        <v>2027</v>
      </c>
    </row>
    <row r="128" spans="4:24" x14ac:dyDescent="0.2">
      <c r="D128" s="120">
        <v>9</v>
      </c>
      <c r="F128" s="118">
        <v>2028</v>
      </c>
    </row>
    <row r="129" spans="4:6" x14ac:dyDescent="0.2">
      <c r="D129" s="120">
        <v>10</v>
      </c>
      <c r="F129" s="118">
        <v>2029</v>
      </c>
    </row>
    <row r="130" spans="4:6" x14ac:dyDescent="0.2">
      <c r="D130" s="120">
        <v>11</v>
      </c>
      <c r="F130" s="118">
        <v>2030</v>
      </c>
    </row>
    <row r="131" spans="4:6" x14ac:dyDescent="0.2">
      <c r="D131" s="120">
        <v>12</v>
      </c>
      <c r="F131" s="118">
        <v>2031</v>
      </c>
    </row>
    <row r="150" spans="2:4" x14ac:dyDescent="0.2">
      <c r="B150" s="69"/>
      <c r="C150" s="70"/>
      <c r="D150" s="70"/>
    </row>
    <row r="151" spans="2:4" x14ac:dyDescent="0.2">
      <c r="B151" s="69"/>
      <c r="C151" s="70"/>
      <c r="D151" s="70"/>
    </row>
  </sheetData>
  <mergeCells count="9">
    <mergeCell ref="O42:P42"/>
    <mergeCell ref="H2:H3"/>
    <mergeCell ref="S2:S4"/>
    <mergeCell ref="Z6:AE6"/>
    <mergeCell ref="B5:C5"/>
    <mergeCell ref="W6:X7"/>
    <mergeCell ref="B7:C7"/>
    <mergeCell ref="W17:X17"/>
    <mergeCell ref="W20:X20"/>
  </mergeCells>
  <conditionalFormatting sqref="B8:C38">
    <cfRule type="expression" dxfId="25" priority="10">
      <formula>WEEKDAY($B8,2)=7</formula>
    </cfRule>
    <cfRule type="expression" dxfId="24" priority="11">
      <formula>COUNTIF(fer,$B8)&gt;0</formula>
    </cfRule>
  </conditionalFormatting>
  <conditionalFormatting sqref="D8:D38">
    <cfRule type="cellIs" dxfId="23" priority="9" operator="equal">
      <formula>"F"</formula>
    </cfRule>
  </conditionalFormatting>
  <conditionalFormatting sqref="M42">
    <cfRule type="expression" dxfId="22" priority="8">
      <formula>$B$41&lt;&gt;""</formula>
    </cfRule>
  </conditionalFormatting>
  <conditionalFormatting sqref="N42">
    <cfRule type="expression" dxfId="21" priority="7">
      <formula>$B$41&lt;&gt;""</formula>
    </cfRule>
  </conditionalFormatting>
  <conditionalFormatting sqref="O42:R42">
    <cfRule type="expression" dxfId="20" priority="6">
      <formula>$B$41&lt;&gt;""</formula>
    </cfRule>
  </conditionalFormatting>
  <conditionalFormatting sqref="S42:T42">
    <cfRule type="expression" dxfId="19" priority="5">
      <formula>$B$41&lt;&gt;""</formula>
    </cfRule>
  </conditionalFormatting>
  <conditionalFormatting sqref="E38:T38 K8:T37">
    <cfRule type="expression" dxfId="18" priority="4">
      <formula>$D8="F"</formula>
    </cfRule>
  </conditionalFormatting>
  <conditionalFormatting sqref="Q8:Q38">
    <cfRule type="expression" dxfId="17" priority="3">
      <formula>Q8&gt;0</formula>
    </cfRule>
  </conditionalFormatting>
  <conditionalFormatting sqref="R7:R38">
    <cfRule type="expression" dxfId="16" priority="2">
      <formula>R7&gt;0</formula>
    </cfRule>
  </conditionalFormatting>
  <conditionalFormatting sqref="E8:J37">
    <cfRule type="expression" dxfId="15" priority="1">
      <formula>$D8="F"</formula>
    </cfRule>
  </conditionalFormatting>
  <dataValidations count="2">
    <dataValidation allowBlank="1" showInputMessage="1" showErrorMessage="1" sqref="X23" xr:uid="{03A335B7-0CEF-4B5E-ACFC-42B3C37DCE08}"/>
    <dataValidation type="custom" allowBlank="1" showInputMessage="1" showErrorMessage="1" sqref="E8:J38" xr:uid="{6A972F04-BBB5-4B42-AAB4-53781F6BAD3D}">
      <formula1>OR(E8=2400,TEXT(E8,"00\:00")=TEXT(Z8,"hh:mm"))</formula1>
    </dataValidation>
  </dataValidations>
  <pageMargins left="0.75" right="0.75" top="1" bottom="1" header="0.49212598499999999" footer="0.49212598499999999"/>
  <pageSetup paperSize="9" scale="83" orientation="landscape" r:id="rId1"/>
  <headerFooter alignWithMargins="0"/>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148" r:id="rId4" name="Botão 4">
              <controlPr defaultSize="0" print="0" autoFill="0" autoPict="0" macro="[0]!Limpar_Click">
                <anchor moveWithCells="1" sizeWithCells="1">
                  <from>
                    <xdr:col>22</xdr:col>
                    <xdr:colOff>133350</xdr:colOff>
                    <xdr:row>33</xdr:row>
                    <xdr:rowOff>28575</xdr:rowOff>
                  </from>
                  <to>
                    <xdr:col>23</xdr:col>
                    <xdr:colOff>495300</xdr:colOff>
                    <xdr:row>35</xdr:row>
                    <xdr:rowOff>114300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7">
    <tabColor theme="6"/>
  </sheetPr>
  <dimension ref="A1:AF151"/>
  <sheetViews>
    <sheetView showGridLines="0" topLeftCell="A102" zoomScaleNormal="100" workbookViewId="0">
      <selection activeCell="G121" sqref="G121"/>
    </sheetView>
  </sheetViews>
  <sheetFormatPr defaultRowHeight="12.75" x14ac:dyDescent="0.2"/>
  <cols>
    <col min="1" max="1" width="2.7109375" customWidth="1"/>
    <col min="2" max="2" width="12.140625" customWidth="1"/>
    <col min="3" max="3" width="12.42578125" customWidth="1"/>
    <col min="4" max="4" width="6.85546875" customWidth="1"/>
    <col min="5" max="5" width="9.42578125" customWidth="1"/>
    <col min="6" max="7" width="9.42578125" bestFit="1" customWidth="1"/>
    <col min="8" max="8" width="10.140625" bestFit="1" customWidth="1"/>
    <col min="9" max="10" width="10.140625" customWidth="1"/>
    <col min="11" max="14" width="9.42578125" customWidth="1"/>
    <col min="15" max="17" width="11.28515625" customWidth="1"/>
    <col min="18" max="18" width="9.28515625" customWidth="1"/>
    <col min="19" max="19" width="11.28515625" customWidth="1"/>
    <col min="21" max="22" width="0.85546875" customWidth="1"/>
    <col min="23" max="23" width="24" customWidth="1"/>
    <col min="24" max="24" width="8.42578125" customWidth="1"/>
    <col min="25" max="25" width="6.7109375" customWidth="1"/>
    <col min="26" max="31" width="9.7109375" customWidth="1"/>
    <col min="32" max="32" width="26.85546875" customWidth="1"/>
  </cols>
  <sheetData>
    <row r="1" spans="1:32" ht="18" customHeight="1" x14ac:dyDescent="0.2">
      <c r="E1" s="182" t="str">
        <f>CHOOSE(MONTH(W117),"Janeiro","Fevereiro","Março","Abril","Maio","Junho","Julho","Agosto","Setembro","Outubro","Novembro","Dezembro")</f>
        <v>Março</v>
      </c>
      <c r="F1" s="69"/>
      <c r="H1" s="177"/>
      <c r="I1" s="177"/>
      <c r="J1" s="177"/>
    </row>
    <row r="2" spans="1:32" ht="15" customHeight="1" x14ac:dyDescent="0.2">
      <c r="D2" s="110"/>
      <c r="E2" s="121"/>
      <c r="H2" s="203"/>
      <c r="I2" s="179"/>
      <c r="J2" s="179"/>
      <c r="L2" s="2"/>
      <c r="S2" s="217"/>
      <c r="Z2" s="137"/>
      <c r="AA2" s="84"/>
      <c r="AB2" s="84"/>
      <c r="AC2" s="84"/>
      <c r="AD2" s="84"/>
    </row>
    <row r="3" spans="1:32" ht="15" customHeight="1" x14ac:dyDescent="0.2">
      <c r="D3" s="110"/>
      <c r="E3" s="121"/>
      <c r="H3" s="204"/>
      <c r="I3" s="180"/>
      <c r="J3" s="180"/>
      <c r="L3" s="3"/>
      <c r="M3" s="72"/>
      <c r="S3" s="217"/>
      <c r="Z3" s="84"/>
      <c r="AA3" s="84"/>
      <c r="AB3" s="84"/>
      <c r="AC3" s="84"/>
      <c r="AD3" s="84"/>
    </row>
    <row r="4" spans="1:32" ht="15" customHeight="1" x14ac:dyDescent="0.2">
      <c r="S4" s="217"/>
      <c r="AA4" s="146"/>
      <c r="AB4" s="146"/>
      <c r="AC4" s="146"/>
      <c r="AD4" s="84"/>
    </row>
    <row r="5" spans="1:32" ht="24.95" customHeight="1" x14ac:dyDescent="0.2">
      <c r="B5" s="218" t="s">
        <v>80</v>
      </c>
      <c r="C5" s="219"/>
      <c r="D5" s="185" t="str">
        <f>Outubro!D5</f>
        <v>Alexandre José de Souza Silva</v>
      </c>
      <c r="E5" s="191"/>
      <c r="F5" s="192"/>
      <c r="G5" s="144"/>
      <c r="H5" s="145"/>
      <c r="I5" s="195" t="s">
        <v>85</v>
      </c>
      <c r="J5" s="143"/>
      <c r="K5" s="144"/>
      <c r="L5" s="144"/>
      <c r="M5" s="144"/>
      <c r="N5" s="145"/>
      <c r="O5" s="196" t="s">
        <v>86</v>
      </c>
      <c r="P5" s="143"/>
      <c r="Q5" s="144"/>
      <c r="R5" s="144"/>
      <c r="S5" s="144"/>
      <c r="T5" s="145"/>
      <c r="Z5" s="146"/>
      <c r="AA5" s="146"/>
      <c r="AB5" s="146"/>
      <c r="AC5" s="146"/>
    </row>
    <row r="6" spans="1:32" ht="25.5" customHeight="1" x14ac:dyDescent="0.2">
      <c r="B6" s="74" t="s">
        <v>1</v>
      </c>
      <c r="C6" s="74" t="s">
        <v>2</v>
      </c>
      <c r="D6" s="74" t="s">
        <v>3</v>
      </c>
      <c r="E6" s="74" t="s">
        <v>4</v>
      </c>
      <c r="F6" s="74" t="s">
        <v>5</v>
      </c>
      <c r="G6" s="74" t="s">
        <v>4</v>
      </c>
      <c r="H6" s="74" t="s">
        <v>5</v>
      </c>
      <c r="I6" s="74" t="s">
        <v>4</v>
      </c>
      <c r="J6" s="74" t="s">
        <v>5</v>
      </c>
      <c r="K6" s="74" t="s">
        <v>6</v>
      </c>
      <c r="L6" s="74" t="s">
        <v>7</v>
      </c>
      <c r="M6" s="74" t="s">
        <v>8</v>
      </c>
      <c r="N6" s="74" t="s">
        <v>84</v>
      </c>
      <c r="O6" s="74" t="s">
        <v>9</v>
      </c>
      <c r="P6" s="74" t="s">
        <v>10</v>
      </c>
      <c r="Q6" s="74" t="s">
        <v>71</v>
      </c>
      <c r="R6" s="74" t="s">
        <v>70</v>
      </c>
      <c r="S6" s="74" t="s">
        <v>11</v>
      </c>
      <c r="T6" s="74" t="s">
        <v>12</v>
      </c>
      <c r="W6" s="220" t="s">
        <v>13</v>
      </c>
      <c r="X6" s="221"/>
      <c r="Z6" s="200" t="s">
        <v>0</v>
      </c>
      <c r="AA6" s="201"/>
      <c r="AB6" s="201"/>
      <c r="AC6" s="201"/>
      <c r="AD6" s="201"/>
      <c r="AE6" s="202"/>
    </row>
    <row r="7" spans="1:32" ht="18" customHeight="1" x14ac:dyDescent="0.2">
      <c r="B7" s="211" t="s">
        <v>73</v>
      </c>
      <c r="C7" s="212"/>
      <c r="D7" s="143"/>
      <c r="E7" s="144"/>
      <c r="F7" s="144"/>
      <c r="G7" s="144"/>
      <c r="H7" s="144"/>
      <c r="I7" s="144"/>
      <c r="J7" s="144"/>
      <c r="K7" s="144"/>
      <c r="L7" s="144"/>
      <c r="M7" s="144"/>
      <c r="N7" s="144"/>
      <c r="O7" s="144"/>
      <c r="P7" s="144"/>
      <c r="Q7" s="145"/>
      <c r="R7" s="149">
        <f>IF(Fevereiro!W32="Horas Compensadas",Fevereiro!X32,0)</f>
        <v>28.713888888888945</v>
      </c>
      <c r="S7" s="149">
        <f>IF(Fevereiro!W32="Horas Extras",Fevereiro!X32,0)</f>
        <v>0</v>
      </c>
      <c r="T7" s="149"/>
      <c r="U7" s="93"/>
      <c r="V7" s="147"/>
      <c r="W7" s="222"/>
      <c r="X7" s="223"/>
      <c r="Y7" s="129"/>
      <c r="Z7" s="74" t="s">
        <v>4</v>
      </c>
      <c r="AA7" s="74" t="s">
        <v>5</v>
      </c>
      <c r="AB7" s="74" t="s">
        <v>4</v>
      </c>
      <c r="AC7" s="74" t="s">
        <v>5</v>
      </c>
      <c r="AD7" s="74" t="s">
        <v>4</v>
      </c>
      <c r="AE7" s="74" t="s">
        <v>5</v>
      </c>
      <c r="AF7" s="71"/>
    </row>
    <row r="8" spans="1:32" ht="18" customHeight="1" x14ac:dyDescent="0.2">
      <c r="A8" s="34">
        <f>IF(B8="","",IF(C8&lt;&gt;"feriado",WEEKDAY(B8),8))</f>
        <v>6</v>
      </c>
      <c r="B8" s="36">
        <f>EDATE(inicio,5)</f>
        <v>45352</v>
      </c>
      <c r="C8" s="37">
        <f>IF(B8="","",IF(COUNTIF(fer,B8)&gt;0,"feriado",B8))</f>
        <v>45352</v>
      </c>
      <c r="D8" s="138"/>
      <c r="E8" s="139"/>
      <c r="F8" s="139"/>
      <c r="G8" s="139"/>
      <c r="H8" s="139"/>
      <c r="I8" s="139"/>
      <c r="J8" s="139"/>
      <c r="K8" s="140">
        <f>IF(B8="","",ROUND(O8-N8,5))</f>
        <v>0</v>
      </c>
      <c r="L8" s="140">
        <f>IF(B8="","",IF(AND(E8="",F8=""),0,MAX(ININOT,MIN(FIMNOT+1,AA8+(Z8&gt;AA8)))-MAX(ININOT,Z8)+(MIN(FIMNOT,AA8+(Z8&gt;AA8))-MIN(FIMNOT,Z8)))+IF(AND(G8="",H8=""),0,MAX(ININOT,MIN(FIMNOT+1,AC8+(AB8&gt;AC8)))-MAX(ININOT,AB8)+(MIN(FIMNOT,AC8+(AB8&gt;AC8))-MIN(FIMNOT,AB8)))+IF(AND(I8="",J8=""),0,MAX(ININOT,MIN(FIMNOT+1,AE8+(AD8&gt;AE8)))-MAX(ININOT,AD8)+(MIN(FIMNOT,AE8+(AD8&gt;AE8))-MIN(FIMNOT,AD8))))</f>
        <v>0</v>
      </c>
      <c r="M8" s="141">
        <f>IF(B8="","",(L8/7*8)-L8)</f>
        <v>0</v>
      </c>
      <c r="N8" s="141">
        <f>IF(B8="","",L8+M8)</f>
        <v>0</v>
      </c>
      <c r="O8" s="142">
        <f>IF(B8="","",MOD((AA8-Z8)+(AC8-AB8)+(AE8-AD8),1)+M8)</f>
        <v>0</v>
      </c>
      <c r="P8" s="134">
        <f t="shared" ref="P8:P38" si="0">IF(B8="","",IF(D8="F",$X$16,VLOOKUP(A8,jornada,3)))</f>
        <v>0.30555555555555552</v>
      </c>
      <c r="Q8" s="134" t="str">
        <f>IF(B8="","",IF(AND(D8="A",P8&gt;O8),P8-O8,""))</f>
        <v/>
      </c>
      <c r="R8" s="134">
        <f>IF(B8="","",IF(AND(O8&gt;0,D8="F"),"",IF(D8="A","",IF(O8&lt;P8,P8-O8,""))))</f>
        <v>0.30555555555555552</v>
      </c>
      <c r="S8" s="142" t="s">
        <v>87</v>
      </c>
      <c r="T8" s="142" t="s">
        <v>88</v>
      </c>
      <c r="U8" s="104"/>
      <c r="V8" s="108">
        <v>1</v>
      </c>
      <c r="W8" s="95" t="s">
        <v>15</v>
      </c>
      <c r="X8" s="99">
        <v>0.30555555555555552</v>
      </c>
      <c r="Z8" s="125">
        <f>IF(B8="","",IF($E8="",0,TIME(INT(E8/100),MOD(E8,100),0)))</f>
        <v>0</v>
      </c>
      <c r="AA8" s="125">
        <f>IF(B8="","",IF($F8="",0,TIME(INT(F8/100),MOD(F8,100),0)))</f>
        <v>0</v>
      </c>
      <c r="AB8" s="124">
        <f>IF(B8="","",IF($G8="",0,TIME(INT(G8/100),MOD(G8,100),0)))</f>
        <v>0</v>
      </c>
      <c r="AC8" s="124">
        <f>IF(B8="","",IF($H8="",0,TIME(INT(H8/100),MOD(H8,100),0)))</f>
        <v>0</v>
      </c>
      <c r="AD8" s="124">
        <f>IF(B8="","",IF($I8="",0,TIME(INT(I8/100),MOD(I8,100),0)))</f>
        <v>0</v>
      </c>
      <c r="AE8" s="181">
        <f>IF(B8="","",IF($J8="",0,TIME(INT(J8/100),MOD(J8,100),0)))</f>
        <v>0</v>
      </c>
      <c r="AF8" s="5"/>
    </row>
    <row r="9" spans="1:32" ht="18" customHeight="1" x14ac:dyDescent="0.2">
      <c r="A9" s="34">
        <f t="shared" ref="A9:A38" si="1">IF(B9="","",IF(C9&lt;&gt;"feriado",WEEKDAY(B9),8))</f>
        <v>7</v>
      </c>
      <c r="B9" s="38">
        <f>B8+1</f>
        <v>45353</v>
      </c>
      <c r="C9" s="39">
        <f t="shared" ref="C9:C38" si="2">IF(B9="","",IF(COUNTIF(fer,B9)&gt;0,"feriado",B9))</f>
        <v>45353</v>
      </c>
      <c r="D9" s="105"/>
      <c r="E9" s="122"/>
      <c r="F9" s="122"/>
      <c r="G9" s="122"/>
      <c r="H9" s="122"/>
      <c r="I9" s="122"/>
      <c r="J9" s="122"/>
      <c r="K9" s="68">
        <f t="shared" ref="K9:K38" si="3">IF(B9="","",ROUND(O9-N9,5))</f>
        <v>0</v>
      </c>
      <c r="L9" s="140">
        <f t="shared" ref="L9:L38" si="4">IF(B9="","",IF(AND(E9="",F9=""),0,MAX(ININOT,MIN(FIMNOT+1,AA9+(Z9&gt;AA9)))-MAX(ININOT,Z9)+(MIN(FIMNOT,AA9+(Z9&gt;AA9))-MIN(FIMNOT,Z9)))+IF(AND(G9="",H9=""),0,MAX(ININOT,MIN(FIMNOT+1,AC9+(AB9&gt;AC9)))-MAX(ININOT,AB9)+(MIN(FIMNOT,AC9+(AB9&gt;AC9))-MIN(FIMNOT,AB9)))+IF(AND(I9="",J9=""),0,MAX(ININOT,MIN(FIMNOT+1,AE9+(AD9&gt;AE9)))-MAX(ININOT,AD9)+(MIN(FIMNOT,AE9+(AD9&gt;AE9))-MIN(FIMNOT,AD9))))</f>
        <v>0</v>
      </c>
      <c r="M9" s="40">
        <f t="shared" ref="M9:M38" si="5">IF(B9="","",(L9/7*8)-L9)</f>
        <v>0</v>
      </c>
      <c r="N9" s="40">
        <f t="shared" ref="N9:N38" si="6">IF(B9="","",L9+M9)</f>
        <v>0</v>
      </c>
      <c r="O9" s="142">
        <f t="shared" ref="O9:O37" si="7">IF(B9="","",MOD((AA9-Z9)+(AC9-AB9)+(AE9-AD9),1)+M9)</f>
        <v>0</v>
      </c>
      <c r="P9" s="127">
        <f t="shared" si="0"/>
        <v>0.30555555555555552</v>
      </c>
      <c r="Q9" s="134" t="str">
        <f t="shared" ref="Q9:Q38" si="8">IF(B9="","",IF(AND(D9="A",P9&gt;O9),P9-O9,""))</f>
        <v/>
      </c>
      <c r="R9" s="127">
        <f t="shared" ref="R9:R38" si="9">IF(B9="","",IF(AND(O9&gt;0,D9="F"),"",IF(D9="A","",IF(O9&lt;P9,P9-O9,""))))</f>
        <v>0.30555555555555552</v>
      </c>
      <c r="S9" s="142">
        <f t="shared" ref="S9:S37" si="10">IF(B9="","",IF(AND(WEEKDAY(B9,1)=7,P9=0,D9&lt;&gt;"F"),MAX(0,O9-P9),IF(P9=0,0,MAX(0,O9-P9))))</f>
        <v>0</v>
      </c>
      <c r="T9" s="148">
        <f t="shared" ref="T9:T37" si="11">IF(B9="","",IF(AND(WEEKDAY(B9,1)=7,P9=0,D9&lt;&gt;"F"),0,IF(P9=0,O9,0)))</f>
        <v>0</v>
      </c>
      <c r="U9" s="90"/>
      <c r="V9" s="109">
        <v>2</v>
      </c>
      <c r="W9" s="102" t="s">
        <v>16</v>
      </c>
      <c r="X9" s="100">
        <v>0.30555555555555552</v>
      </c>
      <c r="Z9" s="124">
        <f t="shared" ref="Z9:Z38" si="12">IF(B9="","",IF($E9="",0,TIME(INT(E9/100),MOD(E9,100),0)))</f>
        <v>0</v>
      </c>
      <c r="AA9" s="125">
        <f t="shared" ref="AA9:AA38" si="13">IF(B9="","",IF($F9="",0,TIME(INT(F9/100),MOD(F9,100),0)))</f>
        <v>0</v>
      </c>
      <c r="AB9" s="124">
        <f t="shared" ref="AB9:AB38" si="14">IF(B9="","",IF($G9="",0,TIME(INT(G9/100),MOD(G9,100),0)))</f>
        <v>0</v>
      </c>
      <c r="AC9" s="124">
        <f t="shared" ref="AC9:AC38" si="15">IF(B9="","",IF($H9="",0,TIME(INT(H9/100),MOD(H9,100),0)))</f>
        <v>0</v>
      </c>
      <c r="AD9" s="124">
        <f t="shared" ref="AD9:AD38" si="16">IF(B9="","",IF($I9="",0,TIME(INT(I9/100),MOD(I9,100),0)))</f>
        <v>0</v>
      </c>
      <c r="AE9" s="181">
        <f t="shared" ref="AE9:AE38" si="17">IF(B9="","",IF($J9="",0,TIME(INT(J9/100),MOD(J9,100),0)))</f>
        <v>0</v>
      </c>
      <c r="AF9" s="5"/>
    </row>
    <row r="10" spans="1:32" ht="18" customHeight="1" x14ac:dyDescent="0.2">
      <c r="A10" s="34">
        <f t="shared" si="1"/>
        <v>1</v>
      </c>
      <c r="B10" s="38">
        <f>B9+1</f>
        <v>45354</v>
      </c>
      <c r="C10" s="39">
        <f t="shared" si="2"/>
        <v>45354</v>
      </c>
      <c r="D10" s="105"/>
      <c r="E10" s="122"/>
      <c r="F10" s="122"/>
      <c r="G10" s="122"/>
      <c r="H10" s="122"/>
      <c r="I10" s="122"/>
      <c r="J10" s="122"/>
      <c r="K10" s="68">
        <f t="shared" si="3"/>
        <v>0</v>
      </c>
      <c r="L10" s="140">
        <f t="shared" si="4"/>
        <v>0</v>
      </c>
      <c r="M10" s="40">
        <f t="shared" si="5"/>
        <v>0</v>
      </c>
      <c r="N10" s="40">
        <f t="shared" si="6"/>
        <v>0</v>
      </c>
      <c r="O10" s="142">
        <f t="shared" si="7"/>
        <v>0</v>
      </c>
      <c r="P10" s="127">
        <f t="shared" si="0"/>
        <v>0.30555555555555552</v>
      </c>
      <c r="Q10" s="134" t="str">
        <f t="shared" si="8"/>
        <v/>
      </c>
      <c r="R10" s="127">
        <f t="shared" si="9"/>
        <v>0.30555555555555552</v>
      </c>
      <c r="S10" s="142">
        <f t="shared" si="10"/>
        <v>0</v>
      </c>
      <c r="T10" s="148">
        <f t="shared" si="11"/>
        <v>0</v>
      </c>
      <c r="U10" s="90"/>
      <c r="V10" s="109">
        <v>3</v>
      </c>
      <c r="W10" s="96" t="s">
        <v>17</v>
      </c>
      <c r="X10" s="100">
        <v>0.30555555555555552</v>
      </c>
      <c r="Z10" s="124">
        <f t="shared" si="12"/>
        <v>0</v>
      </c>
      <c r="AA10" s="125">
        <f t="shared" si="13"/>
        <v>0</v>
      </c>
      <c r="AB10" s="124">
        <f t="shared" si="14"/>
        <v>0</v>
      </c>
      <c r="AC10" s="124">
        <f t="shared" si="15"/>
        <v>0</v>
      </c>
      <c r="AD10" s="124">
        <f t="shared" si="16"/>
        <v>0</v>
      </c>
      <c r="AE10" s="181">
        <f t="shared" si="17"/>
        <v>0</v>
      </c>
      <c r="AF10" s="5"/>
    </row>
    <row r="11" spans="1:32" ht="18" customHeight="1" x14ac:dyDescent="0.2">
      <c r="A11" s="34">
        <f t="shared" si="1"/>
        <v>2</v>
      </c>
      <c r="B11" s="38">
        <f>B10+1</f>
        <v>45355</v>
      </c>
      <c r="C11" s="39">
        <f t="shared" si="2"/>
        <v>45355</v>
      </c>
      <c r="D11" s="105"/>
      <c r="E11" s="122"/>
      <c r="F11" s="122"/>
      <c r="G11" s="122"/>
      <c r="H11" s="122"/>
      <c r="I11" s="122"/>
      <c r="J11" s="122"/>
      <c r="K11" s="68">
        <f t="shared" si="3"/>
        <v>0</v>
      </c>
      <c r="L11" s="140">
        <f t="shared" si="4"/>
        <v>0</v>
      </c>
      <c r="M11" s="40">
        <f t="shared" si="5"/>
        <v>0</v>
      </c>
      <c r="N11" s="40">
        <f t="shared" si="6"/>
        <v>0</v>
      </c>
      <c r="O11" s="142">
        <f t="shared" si="7"/>
        <v>0</v>
      </c>
      <c r="P11" s="127">
        <f t="shared" si="0"/>
        <v>0.30555555555555552</v>
      </c>
      <c r="Q11" s="134" t="str">
        <f t="shared" si="8"/>
        <v/>
      </c>
      <c r="R11" s="127">
        <f t="shared" si="9"/>
        <v>0.30555555555555552</v>
      </c>
      <c r="S11" s="142">
        <f t="shared" si="10"/>
        <v>0</v>
      </c>
      <c r="T11" s="148">
        <f t="shared" si="11"/>
        <v>0</v>
      </c>
      <c r="U11" s="90"/>
      <c r="V11" s="109">
        <v>4</v>
      </c>
      <c r="W11" s="96" t="s">
        <v>18</v>
      </c>
      <c r="X11" s="100">
        <v>0.30555555555555552</v>
      </c>
      <c r="Z11" s="124">
        <f t="shared" si="12"/>
        <v>0</v>
      </c>
      <c r="AA11" s="125">
        <f t="shared" si="13"/>
        <v>0</v>
      </c>
      <c r="AB11" s="124">
        <f t="shared" si="14"/>
        <v>0</v>
      </c>
      <c r="AC11" s="124">
        <f t="shared" si="15"/>
        <v>0</v>
      </c>
      <c r="AD11" s="124">
        <f t="shared" si="16"/>
        <v>0</v>
      </c>
      <c r="AE11" s="181">
        <f t="shared" si="17"/>
        <v>0</v>
      </c>
      <c r="AF11" s="5"/>
    </row>
    <row r="12" spans="1:32" ht="18" customHeight="1" x14ac:dyDescent="0.2">
      <c r="A12" s="34">
        <f t="shared" si="1"/>
        <v>3</v>
      </c>
      <c r="B12" s="38">
        <f>B11+1</f>
        <v>45356</v>
      </c>
      <c r="C12" s="39">
        <f t="shared" si="2"/>
        <v>45356</v>
      </c>
      <c r="D12" s="105"/>
      <c r="E12" s="122"/>
      <c r="F12" s="122"/>
      <c r="G12" s="122"/>
      <c r="H12" s="122"/>
      <c r="I12" s="122"/>
      <c r="J12" s="122"/>
      <c r="K12" s="68">
        <f t="shared" si="3"/>
        <v>0</v>
      </c>
      <c r="L12" s="140">
        <f t="shared" si="4"/>
        <v>0</v>
      </c>
      <c r="M12" s="40">
        <f t="shared" si="5"/>
        <v>0</v>
      </c>
      <c r="N12" s="40">
        <f t="shared" si="6"/>
        <v>0</v>
      </c>
      <c r="O12" s="142">
        <f t="shared" si="7"/>
        <v>0</v>
      </c>
      <c r="P12" s="127">
        <f t="shared" si="0"/>
        <v>0.30555555555555552</v>
      </c>
      <c r="Q12" s="134" t="str">
        <f t="shared" si="8"/>
        <v/>
      </c>
      <c r="R12" s="127">
        <f t="shared" si="9"/>
        <v>0.30555555555555552</v>
      </c>
      <c r="S12" s="142">
        <f t="shared" si="10"/>
        <v>0</v>
      </c>
      <c r="T12" s="148">
        <f t="shared" si="11"/>
        <v>0</v>
      </c>
      <c r="U12" s="90"/>
      <c r="V12" s="109">
        <v>5</v>
      </c>
      <c r="W12" s="96" t="s">
        <v>19</v>
      </c>
      <c r="X12" s="100">
        <v>0.30555555555555552</v>
      </c>
      <c r="Z12" s="124">
        <f t="shared" si="12"/>
        <v>0</v>
      </c>
      <c r="AA12" s="125">
        <f t="shared" si="13"/>
        <v>0</v>
      </c>
      <c r="AB12" s="124">
        <f t="shared" si="14"/>
        <v>0</v>
      </c>
      <c r="AC12" s="124">
        <f t="shared" si="15"/>
        <v>0</v>
      </c>
      <c r="AD12" s="124">
        <f t="shared" si="16"/>
        <v>0</v>
      </c>
      <c r="AE12" s="181">
        <f t="shared" si="17"/>
        <v>0</v>
      </c>
      <c r="AF12" s="5"/>
    </row>
    <row r="13" spans="1:32" ht="18" customHeight="1" x14ac:dyDescent="0.2">
      <c r="A13" s="34">
        <f t="shared" si="1"/>
        <v>4</v>
      </c>
      <c r="B13" s="38">
        <f t="shared" ref="B13:B35" si="18">B12+1</f>
        <v>45357</v>
      </c>
      <c r="C13" s="39">
        <f t="shared" si="2"/>
        <v>45357</v>
      </c>
      <c r="D13" s="105"/>
      <c r="E13" s="122"/>
      <c r="F13" s="122"/>
      <c r="G13" s="122"/>
      <c r="H13" s="122"/>
      <c r="I13" s="122"/>
      <c r="J13" s="122"/>
      <c r="K13" s="68">
        <f t="shared" si="3"/>
        <v>0</v>
      </c>
      <c r="L13" s="140">
        <f t="shared" si="4"/>
        <v>0</v>
      </c>
      <c r="M13" s="40">
        <f t="shared" si="5"/>
        <v>0</v>
      </c>
      <c r="N13" s="40">
        <f t="shared" si="6"/>
        <v>0</v>
      </c>
      <c r="O13" s="142">
        <f t="shared" si="7"/>
        <v>0</v>
      </c>
      <c r="P13" s="127">
        <f t="shared" si="0"/>
        <v>0.30555555555555552</v>
      </c>
      <c r="Q13" s="134" t="str">
        <f t="shared" si="8"/>
        <v/>
      </c>
      <c r="R13" s="127">
        <f t="shared" si="9"/>
        <v>0.30555555555555552</v>
      </c>
      <c r="S13" s="142">
        <f t="shared" si="10"/>
        <v>0</v>
      </c>
      <c r="T13" s="148">
        <f t="shared" si="11"/>
        <v>0</v>
      </c>
      <c r="U13" s="90"/>
      <c r="V13" s="109">
        <v>6</v>
      </c>
      <c r="W13" s="96" t="s">
        <v>20</v>
      </c>
      <c r="X13" s="100">
        <v>0.30555555555555552</v>
      </c>
      <c r="Z13" s="124">
        <f t="shared" si="12"/>
        <v>0</v>
      </c>
      <c r="AA13" s="125">
        <f t="shared" si="13"/>
        <v>0</v>
      </c>
      <c r="AB13" s="124">
        <f t="shared" si="14"/>
        <v>0</v>
      </c>
      <c r="AC13" s="124">
        <f t="shared" si="15"/>
        <v>0</v>
      </c>
      <c r="AD13" s="124">
        <f t="shared" si="16"/>
        <v>0</v>
      </c>
      <c r="AE13" s="181">
        <f t="shared" si="17"/>
        <v>0</v>
      </c>
      <c r="AF13" s="5"/>
    </row>
    <row r="14" spans="1:32" ht="18" customHeight="1" x14ac:dyDescent="0.2">
      <c r="A14" s="34">
        <f t="shared" si="1"/>
        <v>5</v>
      </c>
      <c r="B14" s="38">
        <f t="shared" si="18"/>
        <v>45358</v>
      </c>
      <c r="C14" s="39">
        <f t="shared" si="2"/>
        <v>45358</v>
      </c>
      <c r="D14" s="105"/>
      <c r="E14" s="122"/>
      <c r="F14" s="122"/>
      <c r="G14" s="122"/>
      <c r="H14" s="122"/>
      <c r="I14" s="122"/>
      <c r="J14" s="122"/>
      <c r="K14" s="68">
        <f t="shared" si="3"/>
        <v>0</v>
      </c>
      <c r="L14" s="140">
        <f t="shared" si="4"/>
        <v>0</v>
      </c>
      <c r="M14" s="40">
        <f t="shared" si="5"/>
        <v>0</v>
      </c>
      <c r="N14" s="40">
        <f t="shared" si="6"/>
        <v>0</v>
      </c>
      <c r="O14" s="142">
        <f t="shared" si="7"/>
        <v>0</v>
      </c>
      <c r="P14" s="127">
        <f t="shared" si="0"/>
        <v>0.30555555555555552</v>
      </c>
      <c r="Q14" s="134" t="str">
        <f t="shared" si="8"/>
        <v/>
      </c>
      <c r="R14" s="127">
        <f t="shared" si="9"/>
        <v>0.30555555555555552</v>
      </c>
      <c r="S14" s="142">
        <f t="shared" si="10"/>
        <v>0</v>
      </c>
      <c r="T14" s="148">
        <f t="shared" si="11"/>
        <v>0</v>
      </c>
      <c r="U14" s="90"/>
      <c r="V14" s="109">
        <v>7</v>
      </c>
      <c r="W14" s="103" t="s">
        <v>21</v>
      </c>
      <c r="X14" s="100">
        <v>0.30555555555555552</v>
      </c>
      <c r="Z14" s="124">
        <f t="shared" si="12"/>
        <v>0</v>
      </c>
      <c r="AA14" s="125">
        <f t="shared" si="13"/>
        <v>0</v>
      </c>
      <c r="AB14" s="124">
        <f t="shared" si="14"/>
        <v>0</v>
      </c>
      <c r="AC14" s="124">
        <f t="shared" si="15"/>
        <v>0</v>
      </c>
      <c r="AD14" s="124">
        <f t="shared" si="16"/>
        <v>0</v>
      </c>
      <c r="AE14" s="181">
        <f t="shared" si="17"/>
        <v>0</v>
      </c>
      <c r="AF14" s="5"/>
    </row>
    <row r="15" spans="1:32" ht="18" customHeight="1" x14ac:dyDescent="0.2">
      <c r="A15" s="34">
        <f t="shared" si="1"/>
        <v>6</v>
      </c>
      <c r="B15" s="38">
        <f t="shared" si="18"/>
        <v>45359</v>
      </c>
      <c r="C15" s="39">
        <f t="shared" si="2"/>
        <v>45359</v>
      </c>
      <c r="D15" s="105"/>
      <c r="E15" s="122"/>
      <c r="F15" s="122"/>
      <c r="G15" s="122"/>
      <c r="H15" s="122"/>
      <c r="I15" s="122"/>
      <c r="J15" s="122"/>
      <c r="K15" s="68">
        <f t="shared" si="3"/>
        <v>0</v>
      </c>
      <c r="L15" s="140">
        <f t="shared" si="4"/>
        <v>0</v>
      </c>
      <c r="M15" s="40">
        <f t="shared" si="5"/>
        <v>0</v>
      </c>
      <c r="N15" s="40">
        <f t="shared" si="6"/>
        <v>0</v>
      </c>
      <c r="O15" s="142">
        <f t="shared" si="7"/>
        <v>0</v>
      </c>
      <c r="P15" s="127">
        <f t="shared" si="0"/>
        <v>0.30555555555555552</v>
      </c>
      <c r="Q15" s="134" t="str">
        <f t="shared" si="8"/>
        <v/>
      </c>
      <c r="R15" s="127">
        <f t="shared" si="9"/>
        <v>0.30555555555555552</v>
      </c>
      <c r="S15" s="142">
        <f t="shared" si="10"/>
        <v>0</v>
      </c>
      <c r="T15" s="148">
        <f t="shared" si="11"/>
        <v>0</v>
      </c>
      <c r="U15" s="90"/>
      <c r="V15" s="109">
        <v>8</v>
      </c>
      <c r="W15" s="97" t="s">
        <v>22</v>
      </c>
      <c r="X15" s="101">
        <v>0.30555555555555552</v>
      </c>
      <c r="Z15" s="124">
        <f t="shared" si="12"/>
        <v>0</v>
      </c>
      <c r="AA15" s="125">
        <f t="shared" si="13"/>
        <v>0</v>
      </c>
      <c r="AB15" s="124">
        <f t="shared" si="14"/>
        <v>0</v>
      </c>
      <c r="AC15" s="124">
        <f t="shared" si="15"/>
        <v>0</v>
      </c>
      <c r="AD15" s="124">
        <f t="shared" si="16"/>
        <v>0</v>
      </c>
      <c r="AE15" s="181">
        <f t="shared" si="17"/>
        <v>0</v>
      </c>
      <c r="AF15" s="5"/>
    </row>
    <row r="16" spans="1:32" ht="18" customHeight="1" x14ac:dyDescent="0.2">
      <c r="A16" s="34">
        <f t="shared" si="1"/>
        <v>7</v>
      </c>
      <c r="B16" s="38">
        <f t="shared" si="18"/>
        <v>45360</v>
      </c>
      <c r="C16" s="39">
        <f t="shared" si="2"/>
        <v>45360</v>
      </c>
      <c r="D16" s="105"/>
      <c r="E16" s="122"/>
      <c r="F16" s="122"/>
      <c r="G16" s="122"/>
      <c r="H16" s="122"/>
      <c r="I16" s="122"/>
      <c r="J16" s="122"/>
      <c r="K16" s="68">
        <f t="shared" si="3"/>
        <v>0</v>
      </c>
      <c r="L16" s="140">
        <f t="shared" si="4"/>
        <v>0</v>
      </c>
      <c r="M16" s="40">
        <f t="shared" si="5"/>
        <v>0</v>
      </c>
      <c r="N16" s="40">
        <f t="shared" si="6"/>
        <v>0</v>
      </c>
      <c r="O16" s="142">
        <f t="shared" si="7"/>
        <v>0</v>
      </c>
      <c r="P16" s="127">
        <f t="shared" si="0"/>
        <v>0.30555555555555552</v>
      </c>
      <c r="Q16" s="134" t="str">
        <f t="shared" si="8"/>
        <v/>
      </c>
      <c r="R16" s="127">
        <f t="shared" si="9"/>
        <v>0.30555555555555552</v>
      </c>
      <c r="S16" s="142">
        <f t="shared" si="10"/>
        <v>0</v>
      </c>
      <c r="T16" s="148">
        <f t="shared" si="11"/>
        <v>0</v>
      </c>
      <c r="U16" s="90"/>
      <c r="V16" s="90"/>
      <c r="W16" s="98" t="s">
        <v>3</v>
      </c>
      <c r="X16" s="94">
        <v>0</v>
      </c>
      <c r="Z16" s="124">
        <f t="shared" si="12"/>
        <v>0</v>
      </c>
      <c r="AA16" s="125">
        <f t="shared" si="13"/>
        <v>0</v>
      </c>
      <c r="AB16" s="124">
        <f t="shared" si="14"/>
        <v>0</v>
      </c>
      <c r="AC16" s="124">
        <f t="shared" si="15"/>
        <v>0</v>
      </c>
      <c r="AD16" s="124">
        <f t="shared" si="16"/>
        <v>0</v>
      </c>
      <c r="AE16" s="181">
        <f t="shared" si="17"/>
        <v>0</v>
      </c>
      <c r="AF16" s="5"/>
    </row>
    <row r="17" spans="1:32" ht="18" customHeight="1" x14ac:dyDescent="0.2">
      <c r="A17" s="34">
        <f t="shared" si="1"/>
        <v>1</v>
      </c>
      <c r="B17" s="38">
        <f t="shared" si="18"/>
        <v>45361</v>
      </c>
      <c r="C17" s="39">
        <f t="shared" si="2"/>
        <v>45361</v>
      </c>
      <c r="D17" s="105"/>
      <c r="E17" s="122"/>
      <c r="F17" s="122"/>
      <c r="G17" s="122"/>
      <c r="H17" s="122"/>
      <c r="I17" s="122"/>
      <c r="J17" s="122"/>
      <c r="K17" s="68">
        <f t="shared" si="3"/>
        <v>0</v>
      </c>
      <c r="L17" s="140">
        <f t="shared" si="4"/>
        <v>0</v>
      </c>
      <c r="M17" s="40">
        <f t="shared" si="5"/>
        <v>0</v>
      </c>
      <c r="N17" s="40">
        <f t="shared" si="6"/>
        <v>0</v>
      </c>
      <c r="O17" s="142">
        <f t="shared" si="7"/>
        <v>0</v>
      </c>
      <c r="P17" s="127">
        <f t="shared" si="0"/>
        <v>0.30555555555555552</v>
      </c>
      <c r="Q17" s="134" t="str">
        <f t="shared" si="8"/>
        <v/>
      </c>
      <c r="R17" s="127">
        <f t="shared" si="9"/>
        <v>0.30555555555555552</v>
      </c>
      <c r="S17" s="142">
        <f t="shared" si="10"/>
        <v>0</v>
      </c>
      <c r="T17" s="148">
        <f t="shared" si="11"/>
        <v>0</v>
      </c>
      <c r="U17" s="90"/>
      <c r="V17" s="90"/>
      <c r="W17" s="209" t="s">
        <v>23</v>
      </c>
      <c r="X17" s="210"/>
      <c r="Z17" s="124">
        <f t="shared" si="12"/>
        <v>0</v>
      </c>
      <c r="AA17" s="125">
        <f t="shared" si="13"/>
        <v>0</v>
      </c>
      <c r="AB17" s="124">
        <f t="shared" si="14"/>
        <v>0</v>
      </c>
      <c r="AC17" s="124">
        <f t="shared" si="15"/>
        <v>0</v>
      </c>
      <c r="AD17" s="124">
        <f t="shared" si="16"/>
        <v>0</v>
      </c>
      <c r="AE17" s="181">
        <f t="shared" si="17"/>
        <v>0</v>
      </c>
      <c r="AF17" s="5"/>
    </row>
    <row r="18" spans="1:32" ht="18" customHeight="1" x14ac:dyDescent="0.2">
      <c r="A18" s="34">
        <f t="shared" si="1"/>
        <v>2</v>
      </c>
      <c r="B18" s="38">
        <f t="shared" si="18"/>
        <v>45362</v>
      </c>
      <c r="C18" s="39">
        <f t="shared" si="2"/>
        <v>45362</v>
      </c>
      <c r="D18" s="105"/>
      <c r="E18" s="122"/>
      <c r="F18" s="122"/>
      <c r="G18" s="122"/>
      <c r="H18" s="122"/>
      <c r="I18" s="122"/>
      <c r="J18" s="122"/>
      <c r="K18" s="68">
        <f t="shared" si="3"/>
        <v>0</v>
      </c>
      <c r="L18" s="140">
        <f t="shared" si="4"/>
        <v>0</v>
      </c>
      <c r="M18" s="40">
        <f t="shared" si="5"/>
        <v>0</v>
      </c>
      <c r="N18" s="40">
        <f t="shared" si="6"/>
        <v>0</v>
      </c>
      <c r="O18" s="142">
        <f t="shared" si="7"/>
        <v>0</v>
      </c>
      <c r="P18" s="127">
        <f t="shared" si="0"/>
        <v>0.30555555555555552</v>
      </c>
      <c r="Q18" s="134" t="str">
        <f t="shared" si="8"/>
        <v/>
      </c>
      <c r="R18" s="127">
        <f t="shared" si="9"/>
        <v>0.30555555555555552</v>
      </c>
      <c r="S18" s="142">
        <f t="shared" si="10"/>
        <v>0</v>
      </c>
      <c r="T18" s="148">
        <f t="shared" si="11"/>
        <v>0</v>
      </c>
      <c r="U18" s="90"/>
      <c r="V18" s="90"/>
      <c r="W18" s="111" t="s">
        <v>24</v>
      </c>
      <c r="X18" s="99">
        <f>ININOT</f>
        <v>0.91666666666666663</v>
      </c>
      <c r="Z18" s="124">
        <f t="shared" si="12"/>
        <v>0</v>
      </c>
      <c r="AA18" s="125">
        <f t="shared" si="13"/>
        <v>0</v>
      </c>
      <c r="AB18" s="124">
        <f t="shared" si="14"/>
        <v>0</v>
      </c>
      <c r="AC18" s="124">
        <f t="shared" si="15"/>
        <v>0</v>
      </c>
      <c r="AD18" s="124">
        <f t="shared" si="16"/>
        <v>0</v>
      </c>
      <c r="AE18" s="181">
        <f t="shared" si="17"/>
        <v>0</v>
      </c>
      <c r="AF18" s="5"/>
    </row>
    <row r="19" spans="1:32" ht="18" customHeight="1" x14ac:dyDescent="0.2">
      <c r="A19" s="34">
        <f t="shared" si="1"/>
        <v>3</v>
      </c>
      <c r="B19" s="38">
        <f t="shared" si="18"/>
        <v>45363</v>
      </c>
      <c r="C19" s="39">
        <f t="shared" si="2"/>
        <v>45363</v>
      </c>
      <c r="D19" s="105"/>
      <c r="E19" s="122"/>
      <c r="F19" s="122"/>
      <c r="G19" s="122"/>
      <c r="H19" s="122"/>
      <c r="I19" s="122"/>
      <c r="J19" s="122"/>
      <c r="K19" s="68">
        <f t="shared" si="3"/>
        <v>0</v>
      </c>
      <c r="L19" s="140">
        <f t="shared" si="4"/>
        <v>0</v>
      </c>
      <c r="M19" s="40">
        <f t="shared" si="5"/>
        <v>0</v>
      </c>
      <c r="N19" s="40">
        <f t="shared" si="6"/>
        <v>0</v>
      </c>
      <c r="O19" s="142">
        <f t="shared" si="7"/>
        <v>0</v>
      </c>
      <c r="P19" s="127">
        <f t="shared" si="0"/>
        <v>0.30555555555555552</v>
      </c>
      <c r="Q19" s="134" t="str">
        <f t="shared" si="8"/>
        <v/>
      </c>
      <c r="R19" s="127">
        <f t="shared" si="9"/>
        <v>0.30555555555555552</v>
      </c>
      <c r="S19" s="142">
        <f t="shared" si="10"/>
        <v>0</v>
      </c>
      <c r="T19" s="148">
        <f t="shared" si="11"/>
        <v>0</v>
      </c>
      <c r="U19" s="90"/>
      <c r="V19" s="90"/>
      <c r="W19" s="112" t="s">
        <v>25</v>
      </c>
      <c r="X19" s="101">
        <f>FIMNOT</f>
        <v>0.20833333333333334</v>
      </c>
      <c r="Z19" s="124">
        <f t="shared" si="12"/>
        <v>0</v>
      </c>
      <c r="AA19" s="125">
        <f t="shared" si="13"/>
        <v>0</v>
      </c>
      <c r="AB19" s="124">
        <f t="shared" si="14"/>
        <v>0</v>
      </c>
      <c r="AC19" s="124">
        <f t="shared" si="15"/>
        <v>0</v>
      </c>
      <c r="AD19" s="124">
        <f t="shared" si="16"/>
        <v>0</v>
      </c>
      <c r="AE19" s="181">
        <f t="shared" si="17"/>
        <v>0</v>
      </c>
      <c r="AF19" s="7"/>
    </row>
    <row r="20" spans="1:32" ht="18" customHeight="1" x14ac:dyDescent="0.2">
      <c r="A20" s="34">
        <f t="shared" si="1"/>
        <v>4</v>
      </c>
      <c r="B20" s="38">
        <f t="shared" si="18"/>
        <v>45364</v>
      </c>
      <c r="C20" s="39">
        <f t="shared" si="2"/>
        <v>45364</v>
      </c>
      <c r="D20" s="105"/>
      <c r="E20" s="122"/>
      <c r="F20" s="122"/>
      <c r="G20" s="122"/>
      <c r="H20" s="122"/>
      <c r="I20" s="122"/>
      <c r="J20" s="122"/>
      <c r="K20" s="68">
        <f t="shared" si="3"/>
        <v>0</v>
      </c>
      <c r="L20" s="140">
        <f t="shared" si="4"/>
        <v>0</v>
      </c>
      <c r="M20" s="40">
        <f t="shared" si="5"/>
        <v>0</v>
      </c>
      <c r="N20" s="40">
        <f t="shared" si="6"/>
        <v>0</v>
      </c>
      <c r="O20" s="142">
        <f t="shared" si="7"/>
        <v>0</v>
      </c>
      <c r="P20" s="127">
        <f t="shared" si="0"/>
        <v>0.30555555555555552</v>
      </c>
      <c r="Q20" s="134" t="str">
        <f t="shared" si="8"/>
        <v/>
      </c>
      <c r="R20" s="127">
        <f t="shared" si="9"/>
        <v>0.30555555555555552</v>
      </c>
      <c r="S20" s="142">
        <f t="shared" si="10"/>
        <v>0</v>
      </c>
      <c r="T20" s="148">
        <f t="shared" si="11"/>
        <v>0</v>
      </c>
      <c r="U20" s="90"/>
      <c r="V20" s="90"/>
      <c r="W20" s="209" t="s">
        <v>26</v>
      </c>
      <c r="X20" s="210"/>
      <c r="Z20" s="124">
        <f t="shared" si="12"/>
        <v>0</v>
      </c>
      <c r="AA20" s="125">
        <f t="shared" si="13"/>
        <v>0</v>
      </c>
      <c r="AB20" s="124">
        <f t="shared" si="14"/>
        <v>0</v>
      </c>
      <c r="AC20" s="124">
        <f t="shared" si="15"/>
        <v>0</v>
      </c>
      <c r="AD20" s="124">
        <f t="shared" si="16"/>
        <v>0</v>
      </c>
      <c r="AE20" s="181">
        <f t="shared" si="17"/>
        <v>0</v>
      </c>
      <c r="AF20" s="5"/>
    </row>
    <row r="21" spans="1:32" ht="18" customHeight="1" x14ac:dyDescent="0.2">
      <c r="A21" s="34">
        <f t="shared" si="1"/>
        <v>5</v>
      </c>
      <c r="B21" s="38">
        <f t="shared" si="18"/>
        <v>45365</v>
      </c>
      <c r="C21" s="39">
        <f t="shared" si="2"/>
        <v>45365</v>
      </c>
      <c r="D21" s="105"/>
      <c r="E21" s="122"/>
      <c r="F21" s="122"/>
      <c r="G21" s="122"/>
      <c r="H21" s="122"/>
      <c r="I21" s="122"/>
      <c r="J21" s="122"/>
      <c r="K21" s="68">
        <f t="shared" si="3"/>
        <v>0</v>
      </c>
      <c r="L21" s="140">
        <f t="shared" si="4"/>
        <v>0</v>
      </c>
      <c r="M21" s="40">
        <f t="shared" si="5"/>
        <v>0</v>
      </c>
      <c r="N21" s="40">
        <f t="shared" si="6"/>
        <v>0</v>
      </c>
      <c r="O21" s="142">
        <f t="shared" si="7"/>
        <v>0</v>
      </c>
      <c r="P21" s="127">
        <f t="shared" si="0"/>
        <v>0.30555555555555552</v>
      </c>
      <c r="Q21" s="134" t="str">
        <f t="shared" si="8"/>
        <v/>
      </c>
      <c r="R21" s="127">
        <f t="shared" si="9"/>
        <v>0.30555555555555552</v>
      </c>
      <c r="S21" s="142">
        <f t="shared" si="10"/>
        <v>0</v>
      </c>
      <c r="T21" s="148">
        <f t="shared" si="11"/>
        <v>0</v>
      </c>
      <c r="U21" s="90"/>
      <c r="V21" s="90"/>
      <c r="W21" s="113" t="s">
        <v>27</v>
      </c>
      <c r="X21" s="184" t="str">
        <f>IF(dia_f="","",dia_f)</f>
        <v/>
      </c>
      <c r="Z21" s="124">
        <f t="shared" si="12"/>
        <v>0</v>
      </c>
      <c r="AA21" s="125">
        <f t="shared" si="13"/>
        <v>0</v>
      </c>
      <c r="AB21" s="124">
        <f t="shared" si="14"/>
        <v>0</v>
      </c>
      <c r="AC21" s="124">
        <f t="shared" si="15"/>
        <v>0</v>
      </c>
      <c r="AD21" s="124">
        <f t="shared" si="16"/>
        <v>0</v>
      </c>
      <c r="AE21" s="181">
        <f t="shared" si="17"/>
        <v>0</v>
      </c>
    </row>
    <row r="22" spans="1:32" ht="18" customHeight="1" x14ac:dyDescent="0.25">
      <c r="A22" s="34">
        <f t="shared" si="1"/>
        <v>6</v>
      </c>
      <c r="B22" s="38">
        <f t="shared" si="18"/>
        <v>45366</v>
      </c>
      <c r="C22" s="39">
        <f t="shared" si="2"/>
        <v>45366</v>
      </c>
      <c r="D22" s="105"/>
      <c r="E22" s="122"/>
      <c r="F22" s="122"/>
      <c r="G22" s="122"/>
      <c r="H22" s="122"/>
      <c r="I22" s="122"/>
      <c r="J22" s="122"/>
      <c r="K22" s="68">
        <f t="shared" si="3"/>
        <v>0</v>
      </c>
      <c r="L22" s="140">
        <f t="shared" si="4"/>
        <v>0</v>
      </c>
      <c r="M22" s="40">
        <f t="shared" si="5"/>
        <v>0</v>
      </c>
      <c r="N22" s="40">
        <f t="shared" si="6"/>
        <v>0</v>
      </c>
      <c r="O22" s="142">
        <f t="shared" si="7"/>
        <v>0</v>
      </c>
      <c r="P22" s="127">
        <f t="shared" si="0"/>
        <v>0.30555555555555552</v>
      </c>
      <c r="Q22" s="134" t="str">
        <f t="shared" si="8"/>
        <v/>
      </c>
      <c r="R22" s="127">
        <f t="shared" si="9"/>
        <v>0.30555555555555552</v>
      </c>
      <c r="S22" s="142">
        <f t="shared" si="10"/>
        <v>0</v>
      </c>
      <c r="T22" s="148">
        <f t="shared" si="11"/>
        <v>0</v>
      </c>
      <c r="U22" s="90"/>
      <c r="V22" s="90"/>
      <c r="W22" s="173"/>
      <c r="X22" s="174"/>
      <c r="Z22" s="124">
        <f t="shared" si="12"/>
        <v>0</v>
      </c>
      <c r="AA22" s="125">
        <f t="shared" si="13"/>
        <v>0</v>
      </c>
      <c r="AB22" s="124">
        <f t="shared" si="14"/>
        <v>0</v>
      </c>
      <c r="AC22" s="124">
        <f t="shared" si="15"/>
        <v>0</v>
      </c>
      <c r="AD22" s="124">
        <f t="shared" si="16"/>
        <v>0</v>
      </c>
      <c r="AE22" s="181">
        <f t="shared" si="17"/>
        <v>0</v>
      </c>
    </row>
    <row r="23" spans="1:32" ht="18" customHeight="1" x14ac:dyDescent="0.25">
      <c r="A23" s="34">
        <f t="shared" si="1"/>
        <v>7</v>
      </c>
      <c r="B23" s="38">
        <f t="shared" si="18"/>
        <v>45367</v>
      </c>
      <c r="C23" s="39">
        <f t="shared" si="2"/>
        <v>45367</v>
      </c>
      <c r="D23" s="105"/>
      <c r="E23" s="122"/>
      <c r="F23" s="122"/>
      <c r="G23" s="122"/>
      <c r="H23" s="122"/>
      <c r="I23" s="122"/>
      <c r="J23" s="122"/>
      <c r="K23" s="68">
        <f t="shared" si="3"/>
        <v>0</v>
      </c>
      <c r="L23" s="140">
        <f t="shared" si="4"/>
        <v>0</v>
      </c>
      <c r="M23" s="40">
        <f t="shared" si="5"/>
        <v>0</v>
      </c>
      <c r="N23" s="40">
        <f t="shared" si="6"/>
        <v>0</v>
      </c>
      <c r="O23" s="142">
        <f t="shared" si="7"/>
        <v>0</v>
      </c>
      <c r="P23" s="127">
        <f t="shared" si="0"/>
        <v>0.30555555555555552</v>
      </c>
      <c r="Q23" s="134" t="str">
        <f t="shared" si="8"/>
        <v/>
      </c>
      <c r="R23" s="127">
        <f t="shared" si="9"/>
        <v>0.30555555555555552</v>
      </c>
      <c r="S23" s="142">
        <f t="shared" si="10"/>
        <v>0</v>
      </c>
      <c r="T23" s="148">
        <f t="shared" si="11"/>
        <v>0</v>
      </c>
      <c r="U23" s="90"/>
      <c r="V23" s="90"/>
      <c r="W23" s="175"/>
      <c r="X23" s="176"/>
      <c r="Z23" s="124">
        <f t="shared" si="12"/>
        <v>0</v>
      </c>
      <c r="AA23" s="125">
        <f t="shared" si="13"/>
        <v>0</v>
      </c>
      <c r="AB23" s="124">
        <f t="shared" si="14"/>
        <v>0</v>
      </c>
      <c r="AC23" s="124">
        <f t="shared" si="15"/>
        <v>0</v>
      </c>
      <c r="AD23" s="124">
        <f t="shared" si="16"/>
        <v>0</v>
      </c>
      <c r="AE23" s="181">
        <f t="shared" si="17"/>
        <v>0</v>
      </c>
      <c r="AF23" s="4"/>
    </row>
    <row r="24" spans="1:32" ht="18" customHeight="1" x14ac:dyDescent="0.2">
      <c r="A24" s="34">
        <f t="shared" si="1"/>
        <v>1</v>
      </c>
      <c r="B24" s="38">
        <f t="shared" si="18"/>
        <v>45368</v>
      </c>
      <c r="C24" s="39">
        <f t="shared" si="2"/>
        <v>45368</v>
      </c>
      <c r="D24" s="105"/>
      <c r="E24" s="122"/>
      <c r="F24" s="122"/>
      <c r="G24" s="122"/>
      <c r="H24" s="122"/>
      <c r="I24" s="122"/>
      <c r="J24" s="122"/>
      <c r="K24" s="68">
        <f t="shared" si="3"/>
        <v>0</v>
      </c>
      <c r="L24" s="140">
        <f t="shared" si="4"/>
        <v>0</v>
      </c>
      <c r="M24" s="40">
        <f t="shared" si="5"/>
        <v>0</v>
      </c>
      <c r="N24" s="40">
        <f t="shared" si="6"/>
        <v>0</v>
      </c>
      <c r="O24" s="142">
        <f t="shared" si="7"/>
        <v>0</v>
      </c>
      <c r="P24" s="127">
        <f t="shared" si="0"/>
        <v>0.30555555555555552</v>
      </c>
      <c r="Q24" s="134" t="str">
        <f t="shared" si="8"/>
        <v/>
      </c>
      <c r="R24" s="127">
        <f t="shared" si="9"/>
        <v>0.30555555555555552</v>
      </c>
      <c r="S24" s="142">
        <f t="shared" si="10"/>
        <v>0</v>
      </c>
      <c r="T24" s="148">
        <f t="shared" si="11"/>
        <v>0</v>
      </c>
      <c r="U24" s="90"/>
      <c r="V24" s="90"/>
      <c r="W24" s="150"/>
      <c r="X24" s="90"/>
      <c r="Z24" s="124">
        <f t="shared" si="12"/>
        <v>0</v>
      </c>
      <c r="AA24" s="125">
        <f t="shared" si="13"/>
        <v>0</v>
      </c>
      <c r="AB24" s="124">
        <f t="shared" si="14"/>
        <v>0</v>
      </c>
      <c r="AC24" s="124">
        <f t="shared" si="15"/>
        <v>0</v>
      </c>
      <c r="AD24" s="124">
        <f t="shared" si="16"/>
        <v>0</v>
      </c>
      <c r="AE24" s="181">
        <f t="shared" si="17"/>
        <v>0</v>
      </c>
    </row>
    <row r="25" spans="1:32" ht="18" customHeight="1" x14ac:dyDescent="0.2">
      <c r="A25" s="34">
        <f t="shared" si="1"/>
        <v>2</v>
      </c>
      <c r="B25" s="38">
        <f t="shared" si="18"/>
        <v>45369</v>
      </c>
      <c r="C25" s="39">
        <f t="shared" si="2"/>
        <v>45369</v>
      </c>
      <c r="D25" s="105"/>
      <c r="E25" s="122"/>
      <c r="F25" s="122"/>
      <c r="G25" s="122"/>
      <c r="H25" s="122"/>
      <c r="I25" s="122"/>
      <c r="J25" s="122"/>
      <c r="K25" s="68">
        <f t="shared" si="3"/>
        <v>0</v>
      </c>
      <c r="L25" s="140">
        <f t="shared" si="4"/>
        <v>0</v>
      </c>
      <c r="M25" s="40">
        <f t="shared" si="5"/>
        <v>0</v>
      </c>
      <c r="N25" s="40">
        <f t="shared" si="6"/>
        <v>0</v>
      </c>
      <c r="O25" s="142">
        <f t="shared" si="7"/>
        <v>0</v>
      </c>
      <c r="P25" s="127">
        <f t="shared" si="0"/>
        <v>0.30555555555555552</v>
      </c>
      <c r="Q25" s="134" t="str">
        <f t="shared" si="8"/>
        <v/>
      </c>
      <c r="R25" s="127">
        <f t="shared" si="9"/>
        <v>0.30555555555555552</v>
      </c>
      <c r="S25" s="142">
        <f t="shared" si="10"/>
        <v>0</v>
      </c>
      <c r="T25" s="148">
        <f t="shared" si="11"/>
        <v>0</v>
      </c>
      <c r="U25" s="90"/>
      <c r="V25" s="90"/>
      <c r="W25" s="169" t="s">
        <v>79</v>
      </c>
      <c r="X25" s="98">
        <f>N39</f>
        <v>0</v>
      </c>
      <c r="Z25" s="124">
        <f t="shared" si="12"/>
        <v>0</v>
      </c>
      <c r="AA25" s="125">
        <f t="shared" si="13"/>
        <v>0</v>
      </c>
      <c r="AB25" s="124">
        <f t="shared" si="14"/>
        <v>0</v>
      </c>
      <c r="AC25" s="124">
        <f t="shared" si="15"/>
        <v>0</v>
      </c>
      <c r="AD25" s="124">
        <f t="shared" si="16"/>
        <v>0</v>
      </c>
      <c r="AE25" s="181">
        <f t="shared" si="17"/>
        <v>0</v>
      </c>
    </row>
    <row r="26" spans="1:32" ht="18" customHeight="1" x14ac:dyDescent="0.2">
      <c r="A26" s="34">
        <f t="shared" si="1"/>
        <v>3</v>
      </c>
      <c r="B26" s="38">
        <f t="shared" si="18"/>
        <v>45370</v>
      </c>
      <c r="C26" s="39">
        <f t="shared" si="2"/>
        <v>45370</v>
      </c>
      <c r="D26" s="105"/>
      <c r="E26" s="122"/>
      <c r="F26" s="122"/>
      <c r="G26" s="122"/>
      <c r="H26" s="122"/>
      <c r="I26" s="122"/>
      <c r="J26" s="122"/>
      <c r="K26" s="68">
        <f t="shared" si="3"/>
        <v>0</v>
      </c>
      <c r="L26" s="140">
        <f t="shared" si="4"/>
        <v>0</v>
      </c>
      <c r="M26" s="40">
        <f t="shared" si="5"/>
        <v>0</v>
      </c>
      <c r="N26" s="40">
        <f t="shared" si="6"/>
        <v>0</v>
      </c>
      <c r="O26" s="142">
        <f t="shared" si="7"/>
        <v>0</v>
      </c>
      <c r="P26" s="127">
        <f t="shared" si="0"/>
        <v>0.30555555555555552</v>
      </c>
      <c r="Q26" s="134" t="str">
        <f t="shared" si="8"/>
        <v/>
      </c>
      <c r="R26" s="127">
        <f t="shared" si="9"/>
        <v>0.30555555555555552</v>
      </c>
      <c r="S26" s="142">
        <f t="shared" si="10"/>
        <v>0</v>
      </c>
      <c r="T26" s="148">
        <f t="shared" si="11"/>
        <v>0</v>
      </c>
      <c r="U26" s="90"/>
      <c r="V26" s="90"/>
      <c r="W26" s="170" t="s">
        <v>74</v>
      </c>
      <c r="X26" s="171">
        <f>O39</f>
        <v>0</v>
      </c>
      <c r="Z26" s="124">
        <f t="shared" si="12"/>
        <v>0</v>
      </c>
      <c r="AA26" s="125">
        <f t="shared" si="13"/>
        <v>0</v>
      </c>
      <c r="AB26" s="124">
        <f t="shared" si="14"/>
        <v>0</v>
      </c>
      <c r="AC26" s="124">
        <f t="shared" si="15"/>
        <v>0</v>
      </c>
      <c r="AD26" s="124">
        <f t="shared" si="16"/>
        <v>0</v>
      </c>
      <c r="AE26" s="181">
        <f t="shared" si="17"/>
        <v>0</v>
      </c>
    </row>
    <row r="27" spans="1:32" ht="18" customHeight="1" x14ac:dyDescent="0.2">
      <c r="A27" s="34">
        <f t="shared" si="1"/>
        <v>4</v>
      </c>
      <c r="B27" s="38">
        <f t="shared" si="18"/>
        <v>45371</v>
      </c>
      <c r="C27" s="39">
        <f t="shared" si="2"/>
        <v>45371</v>
      </c>
      <c r="D27" s="105"/>
      <c r="E27" s="122"/>
      <c r="F27" s="122"/>
      <c r="G27" s="122"/>
      <c r="H27" s="122"/>
      <c r="I27" s="122"/>
      <c r="J27" s="122"/>
      <c r="K27" s="68">
        <f t="shared" si="3"/>
        <v>0</v>
      </c>
      <c r="L27" s="140">
        <f t="shared" si="4"/>
        <v>0</v>
      </c>
      <c r="M27" s="40">
        <f t="shared" si="5"/>
        <v>0</v>
      </c>
      <c r="N27" s="40">
        <f t="shared" si="6"/>
        <v>0</v>
      </c>
      <c r="O27" s="142">
        <f t="shared" si="7"/>
        <v>0</v>
      </c>
      <c r="P27" s="127">
        <f t="shared" si="0"/>
        <v>0.30555555555555552</v>
      </c>
      <c r="Q27" s="134" t="str">
        <f t="shared" si="8"/>
        <v/>
      </c>
      <c r="R27" s="127">
        <f t="shared" si="9"/>
        <v>0.30555555555555552</v>
      </c>
      <c r="S27" s="142">
        <f t="shared" si="10"/>
        <v>0</v>
      </c>
      <c r="T27" s="148">
        <f t="shared" si="11"/>
        <v>0</v>
      </c>
      <c r="U27" s="90"/>
      <c r="V27" s="90"/>
      <c r="W27" s="157" t="s">
        <v>75</v>
      </c>
      <c r="X27" s="158">
        <f>Q39</f>
        <v>0</v>
      </c>
      <c r="Z27" s="124">
        <f t="shared" si="12"/>
        <v>0</v>
      </c>
      <c r="AA27" s="125">
        <f t="shared" si="13"/>
        <v>0</v>
      </c>
      <c r="AB27" s="124">
        <f t="shared" si="14"/>
        <v>0</v>
      </c>
      <c r="AC27" s="124">
        <f t="shared" si="15"/>
        <v>0</v>
      </c>
      <c r="AD27" s="124">
        <f t="shared" si="16"/>
        <v>0</v>
      </c>
      <c r="AE27" s="181">
        <f t="shared" si="17"/>
        <v>0</v>
      </c>
    </row>
    <row r="28" spans="1:32" ht="18" customHeight="1" x14ac:dyDescent="0.2">
      <c r="A28" s="34">
        <f t="shared" si="1"/>
        <v>5</v>
      </c>
      <c r="B28" s="38">
        <f t="shared" si="18"/>
        <v>45372</v>
      </c>
      <c r="C28" s="39">
        <f t="shared" si="2"/>
        <v>45372</v>
      </c>
      <c r="D28" s="105"/>
      <c r="E28" s="122"/>
      <c r="F28" s="122"/>
      <c r="G28" s="122"/>
      <c r="H28" s="122"/>
      <c r="I28" s="122"/>
      <c r="J28" s="122"/>
      <c r="K28" s="68">
        <f t="shared" si="3"/>
        <v>0</v>
      </c>
      <c r="L28" s="140">
        <f t="shared" si="4"/>
        <v>0</v>
      </c>
      <c r="M28" s="40">
        <f t="shared" si="5"/>
        <v>0</v>
      </c>
      <c r="N28" s="40">
        <f t="shared" si="6"/>
        <v>0</v>
      </c>
      <c r="O28" s="142">
        <f t="shared" si="7"/>
        <v>0</v>
      </c>
      <c r="P28" s="127">
        <f t="shared" si="0"/>
        <v>0.30555555555555552</v>
      </c>
      <c r="Q28" s="134" t="str">
        <f t="shared" si="8"/>
        <v/>
      </c>
      <c r="R28" s="127">
        <f t="shared" si="9"/>
        <v>0.30555555555555552</v>
      </c>
      <c r="S28" s="142">
        <f t="shared" si="10"/>
        <v>0</v>
      </c>
      <c r="T28" s="148">
        <f t="shared" si="11"/>
        <v>0</v>
      </c>
      <c r="U28" s="90"/>
      <c r="V28" s="90"/>
      <c r="W28" s="163" t="s">
        <v>76</v>
      </c>
      <c r="X28" s="164">
        <f>R39</f>
        <v>38.186111111111217</v>
      </c>
      <c r="Z28" s="124">
        <f t="shared" si="12"/>
        <v>0</v>
      </c>
      <c r="AA28" s="125">
        <f t="shared" si="13"/>
        <v>0</v>
      </c>
      <c r="AB28" s="124">
        <f t="shared" si="14"/>
        <v>0</v>
      </c>
      <c r="AC28" s="124">
        <f t="shared" si="15"/>
        <v>0</v>
      </c>
      <c r="AD28" s="124">
        <f t="shared" si="16"/>
        <v>0</v>
      </c>
      <c r="AE28" s="181">
        <f t="shared" si="17"/>
        <v>0</v>
      </c>
    </row>
    <row r="29" spans="1:32" ht="18" customHeight="1" x14ac:dyDescent="0.2">
      <c r="A29" s="34">
        <f t="shared" si="1"/>
        <v>6</v>
      </c>
      <c r="B29" s="38">
        <f t="shared" si="18"/>
        <v>45373</v>
      </c>
      <c r="C29" s="39">
        <f t="shared" si="2"/>
        <v>45373</v>
      </c>
      <c r="D29" s="105"/>
      <c r="E29" s="122"/>
      <c r="F29" s="122"/>
      <c r="G29" s="122"/>
      <c r="H29" s="122"/>
      <c r="I29" s="122"/>
      <c r="J29" s="122"/>
      <c r="K29" s="68">
        <f t="shared" si="3"/>
        <v>0</v>
      </c>
      <c r="L29" s="140">
        <f t="shared" si="4"/>
        <v>0</v>
      </c>
      <c r="M29" s="40">
        <f t="shared" si="5"/>
        <v>0</v>
      </c>
      <c r="N29" s="40">
        <f t="shared" si="6"/>
        <v>0</v>
      </c>
      <c r="O29" s="142">
        <f t="shared" si="7"/>
        <v>0</v>
      </c>
      <c r="P29" s="127">
        <f t="shared" si="0"/>
        <v>0.30555555555555552</v>
      </c>
      <c r="Q29" s="134" t="str">
        <f t="shared" si="8"/>
        <v/>
      </c>
      <c r="R29" s="127">
        <f t="shared" si="9"/>
        <v>0.30555555555555552</v>
      </c>
      <c r="S29" s="142">
        <f t="shared" si="10"/>
        <v>0</v>
      </c>
      <c r="T29" s="148">
        <f t="shared" si="11"/>
        <v>0</v>
      </c>
      <c r="U29" s="90"/>
      <c r="V29" s="90"/>
      <c r="W29" s="157" t="s">
        <v>77</v>
      </c>
      <c r="X29" s="158">
        <f>S39</f>
        <v>0</v>
      </c>
      <c r="Z29" s="124">
        <f t="shared" si="12"/>
        <v>0</v>
      </c>
      <c r="AA29" s="125">
        <f t="shared" si="13"/>
        <v>0</v>
      </c>
      <c r="AB29" s="124">
        <f t="shared" si="14"/>
        <v>0</v>
      </c>
      <c r="AC29" s="124">
        <f t="shared" si="15"/>
        <v>0</v>
      </c>
      <c r="AD29" s="124">
        <f t="shared" si="16"/>
        <v>0</v>
      </c>
      <c r="AE29" s="181">
        <f t="shared" si="17"/>
        <v>0</v>
      </c>
    </row>
    <row r="30" spans="1:32" ht="18" customHeight="1" x14ac:dyDescent="0.2">
      <c r="A30" s="34">
        <f t="shared" si="1"/>
        <v>7</v>
      </c>
      <c r="B30" s="38">
        <f t="shared" si="18"/>
        <v>45374</v>
      </c>
      <c r="C30" s="39">
        <f t="shared" si="2"/>
        <v>45374</v>
      </c>
      <c r="D30" s="105"/>
      <c r="E30" s="122"/>
      <c r="F30" s="122"/>
      <c r="G30" s="122"/>
      <c r="H30" s="122"/>
      <c r="I30" s="122"/>
      <c r="J30" s="122"/>
      <c r="K30" s="68">
        <f t="shared" si="3"/>
        <v>0</v>
      </c>
      <c r="L30" s="140">
        <f t="shared" si="4"/>
        <v>0</v>
      </c>
      <c r="M30" s="40">
        <f t="shared" si="5"/>
        <v>0</v>
      </c>
      <c r="N30" s="40">
        <f t="shared" si="6"/>
        <v>0</v>
      </c>
      <c r="O30" s="142">
        <f t="shared" si="7"/>
        <v>0</v>
      </c>
      <c r="P30" s="127">
        <f t="shared" si="0"/>
        <v>0.30555555555555552</v>
      </c>
      <c r="Q30" s="134" t="str">
        <f t="shared" si="8"/>
        <v/>
      </c>
      <c r="R30" s="127">
        <f t="shared" si="9"/>
        <v>0.30555555555555552</v>
      </c>
      <c r="S30" s="142">
        <f t="shared" si="10"/>
        <v>0</v>
      </c>
      <c r="T30" s="148">
        <f t="shared" si="11"/>
        <v>0</v>
      </c>
      <c r="U30" s="90"/>
      <c r="V30" s="90"/>
      <c r="W30" s="165" t="s">
        <v>78</v>
      </c>
      <c r="X30" s="166">
        <f>T39</f>
        <v>0</v>
      </c>
      <c r="Z30" s="124">
        <f t="shared" si="12"/>
        <v>0</v>
      </c>
      <c r="AA30" s="125">
        <f t="shared" si="13"/>
        <v>0</v>
      </c>
      <c r="AB30" s="124">
        <f t="shared" si="14"/>
        <v>0</v>
      </c>
      <c r="AC30" s="124">
        <f t="shared" si="15"/>
        <v>0</v>
      </c>
      <c r="AD30" s="124">
        <f t="shared" si="16"/>
        <v>0</v>
      </c>
      <c r="AE30" s="181">
        <f t="shared" si="17"/>
        <v>0</v>
      </c>
    </row>
    <row r="31" spans="1:32" ht="18" customHeight="1" x14ac:dyDescent="0.2">
      <c r="A31" s="34">
        <f t="shared" si="1"/>
        <v>1</v>
      </c>
      <c r="B31" s="38">
        <f t="shared" si="18"/>
        <v>45375</v>
      </c>
      <c r="C31" s="39">
        <f>IF(B31="","",IF(COUNTIF(fer,B31)&gt;0,"feriado",B31))</f>
        <v>45375</v>
      </c>
      <c r="D31" s="105"/>
      <c r="E31" s="122"/>
      <c r="F31" s="122"/>
      <c r="G31" s="122"/>
      <c r="H31" s="122"/>
      <c r="I31" s="122"/>
      <c r="J31" s="122"/>
      <c r="K31" s="68">
        <f t="shared" si="3"/>
        <v>0</v>
      </c>
      <c r="L31" s="140">
        <f t="shared" si="4"/>
        <v>0</v>
      </c>
      <c r="M31" s="40">
        <f t="shared" si="5"/>
        <v>0</v>
      </c>
      <c r="N31" s="40">
        <f t="shared" si="6"/>
        <v>0</v>
      </c>
      <c r="O31" s="142">
        <f t="shared" si="7"/>
        <v>0</v>
      </c>
      <c r="P31" s="127">
        <f t="shared" si="0"/>
        <v>0.30555555555555552</v>
      </c>
      <c r="Q31" s="134" t="str">
        <f t="shared" si="8"/>
        <v/>
      </c>
      <c r="R31" s="127">
        <f t="shared" si="9"/>
        <v>0.30555555555555552</v>
      </c>
      <c r="S31" s="142">
        <f t="shared" si="10"/>
        <v>0</v>
      </c>
      <c r="T31" s="148">
        <f t="shared" si="11"/>
        <v>0</v>
      </c>
      <c r="U31" s="90"/>
      <c r="V31" s="90"/>
      <c r="W31" s="90"/>
      <c r="X31" s="90"/>
      <c r="Z31" s="124">
        <f t="shared" si="12"/>
        <v>0</v>
      </c>
      <c r="AA31" s="125">
        <f t="shared" si="13"/>
        <v>0</v>
      </c>
      <c r="AB31" s="124">
        <f t="shared" si="14"/>
        <v>0</v>
      </c>
      <c r="AC31" s="124">
        <f t="shared" si="15"/>
        <v>0</v>
      </c>
      <c r="AD31" s="124">
        <f t="shared" si="16"/>
        <v>0</v>
      </c>
      <c r="AE31" s="181">
        <f t="shared" si="17"/>
        <v>0</v>
      </c>
    </row>
    <row r="32" spans="1:32" ht="18" customHeight="1" x14ac:dyDescent="0.2">
      <c r="A32" s="34">
        <f t="shared" si="1"/>
        <v>2</v>
      </c>
      <c r="B32" s="38">
        <f t="shared" si="18"/>
        <v>45376</v>
      </c>
      <c r="C32" s="39">
        <f t="shared" si="2"/>
        <v>45376</v>
      </c>
      <c r="D32" s="105"/>
      <c r="E32" s="122"/>
      <c r="F32" s="122"/>
      <c r="G32" s="122"/>
      <c r="H32" s="122"/>
      <c r="I32" s="122"/>
      <c r="J32" s="122"/>
      <c r="K32" s="68">
        <f t="shared" si="3"/>
        <v>0</v>
      </c>
      <c r="L32" s="140">
        <f t="shared" si="4"/>
        <v>0</v>
      </c>
      <c r="M32" s="40">
        <f t="shared" si="5"/>
        <v>0</v>
      </c>
      <c r="N32" s="40">
        <f t="shared" si="6"/>
        <v>0</v>
      </c>
      <c r="O32" s="142">
        <f t="shared" si="7"/>
        <v>0</v>
      </c>
      <c r="P32" s="127">
        <f t="shared" si="0"/>
        <v>0.30555555555555552</v>
      </c>
      <c r="Q32" s="134" t="str">
        <f t="shared" si="8"/>
        <v/>
      </c>
      <c r="R32" s="127">
        <f t="shared" si="9"/>
        <v>0.30555555555555552</v>
      </c>
      <c r="S32" s="142">
        <f t="shared" si="10"/>
        <v>0</v>
      </c>
      <c r="T32" s="148">
        <f t="shared" si="11"/>
        <v>0</v>
      </c>
      <c r="U32" s="90"/>
      <c r="V32" s="90"/>
      <c r="W32" s="159" t="str">
        <f>IF(X28-X29=0,0,(IF(X28-X29&lt;0,"Horas Extras","Horas Compensadas")))</f>
        <v>Horas Compensadas</v>
      </c>
      <c r="X32" s="168">
        <f>IF(X28-X29&lt;0,(X28*-1)-(X29*-1),X28-X29)</f>
        <v>38.186111111111217</v>
      </c>
      <c r="Z32" s="124">
        <f t="shared" si="12"/>
        <v>0</v>
      </c>
      <c r="AA32" s="125">
        <f t="shared" si="13"/>
        <v>0</v>
      </c>
      <c r="AB32" s="124">
        <f t="shared" si="14"/>
        <v>0</v>
      </c>
      <c r="AC32" s="124">
        <f t="shared" si="15"/>
        <v>0</v>
      </c>
      <c r="AD32" s="124">
        <f t="shared" si="16"/>
        <v>0</v>
      </c>
      <c r="AE32" s="181">
        <f t="shared" si="17"/>
        <v>0</v>
      </c>
    </row>
    <row r="33" spans="1:31" ht="18" customHeight="1" x14ac:dyDescent="0.2">
      <c r="A33" s="34">
        <f t="shared" si="1"/>
        <v>3</v>
      </c>
      <c r="B33" s="38">
        <f t="shared" si="18"/>
        <v>45377</v>
      </c>
      <c r="C33" s="39">
        <f t="shared" si="2"/>
        <v>45377</v>
      </c>
      <c r="D33" s="105"/>
      <c r="E33" s="122"/>
      <c r="F33" s="122"/>
      <c r="G33" s="122"/>
      <c r="H33" s="122"/>
      <c r="I33" s="122"/>
      <c r="J33" s="122"/>
      <c r="K33" s="68">
        <f t="shared" si="3"/>
        <v>0</v>
      </c>
      <c r="L33" s="140">
        <f t="shared" si="4"/>
        <v>0</v>
      </c>
      <c r="M33" s="40">
        <f t="shared" si="5"/>
        <v>0</v>
      </c>
      <c r="N33" s="40">
        <f t="shared" si="6"/>
        <v>0</v>
      </c>
      <c r="O33" s="142">
        <f t="shared" si="7"/>
        <v>0</v>
      </c>
      <c r="P33" s="127">
        <f t="shared" si="0"/>
        <v>0.30555555555555552</v>
      </c>
      <c r="Q33" s="134" t="str">
        <f t="shared" si="8"/>
        <v/>
      </c>
      <c r="R33" s="127">
        <f t="shared" si="9"/>
        <v>0.30555555555555552</v>
      </c>
      <c r="S33" s="142">
        <f t="shared" si="10"/>
        <v>0</v>
      </c>
      <c r="T33" s="148">
        <f t="shared" si="11"/>
        <v>0</v>
      </c>
      <c r="U33" s="90"/>
      <c r="V33" s="90"/>
      <c r="W33" s="90"/>
      <c r="X33" s="90"/>
      <c r="Z33" s="124">
        <f t="shared" si="12"/>
        <v>0</v>
      </c>
      <c r="AA33" s="125">
        <f t="shared" si="13"/>
        <v>0</v>
      </c>
      <c r="AB33" s="124">
        <f t="shared" si="14"/>
        <v>0</v>
      </c>
      <c r="AC33" s="124">
        <f t="shared" si="15"/>
        <v>0</v>
      </c>
      <c r="AD33" s="124">
        <f t="shared" si="16"/>
        <v>0</v>
      </c>
      <c r="AE33" s="181">
        <f t="shared" si="17"/>
        <v>0</v>
      </c>
    </row>
    <row r="34" spans="1:31" ht="18" customHeight="1" x14ac:dyDescent="0.2">
      <c r="A34" s="34">
        <f t="shared" si="1"/>
        <v>4</v>
      </c>
      <c r="B34" s="38">
        <f t="shared" si="18"/>
        <v>45378</v>
      </c>
      <c r="C34" s="39">
        <f t="shared" si="2"/>
        <v>45378</v>
      </c>
      <c r="D34" s="105"/>
      <c r="E34" s="122"/>
      <c r="F34" s="122"/>
      <c r="G34" s="122"/>
      <c r="H34" s="122"/>
      <c r="I34" s="122"/>
      <c r="J34" s="122"/>
      <c r="K34" s="68">
        <f t="shared" si="3"/>
        <v>0</v>
      </c>
      <c r="L34" s="140">
        <f t="shared" si="4"/>
        <v>0</v>
      </c>
      <c r="M34" s="40">
        <f t="shared" si="5"/>
        <v>0</v>
      </c>
      <c r="N34" s="40">
        <f t="shared" si="6"/>
        <v>0</v>
      </c>
      <c r="O34" s="142">
        <f t="shared" si="7"/>
        <v>0</v>
      </c>
      <c r="P34" s="127">
        <f t="shared" si="0"/>
        <v>0.30555555555555552</v>
      </c>
      <c r="Q34" s="134" t="str">
        <f t="shared" si="8"/>
        <v/>
      </c>
      <c r="R34" s="127">
        <f t="shared" si="9"/>
        <v>0.30555555555555552</v>
      </c>
      <c r="S34" s="142">
        <f t="shared" si="10"/>
        <v>0</v>
      </c>
      <c r="T34" s="148">
        <f t="shared" si="11"/>
        <v>0</v>
      </c>
      <c r="U34" s="90"/>
      <c r="V34" s="90"/>
      <c r="W34" s="90"/>
      <c r="X34" s="90"/>
      <c r="Z34" s="124">
        <f t="shared" si="12"/>
        <v>0</v>
      </c>
      <c r="AA34" s="125">
        <f t="shared" si="13"/>
        <v>0</v>
      </c>
      <c r="AB34" s="124">
        <f t="shared" si="14"/>
        <v>0</v>
      </c>
      <c r="AC34" s="124">
        <f t="shared" si="15"/>
        <v>0</v>
      </c>
      <c r="AD34" s="124">
        <f t="shared" si="16"/>
        <v>0</v>
      </c>
      <c r="AE34" s="181">
        <f t="shared" si="17"/>
        <v>0</v>
      </c>
    </row>
    <row r="35" spans="1:31" ht="18" customHeight="1" x14ac:dyDescent="0.2">
      <c r="A35" s="34">
        <f t="shared" si="1"/>
        <v>5</v>
      </c>
      <c r="B35" s="38">
        <f t="shared" si="18"/>
        <v>45379</v>
      </c>
      <c r="C35" s="39">
        <f t="shared" si="2"/>
        <v>45379</v>
      </c>
      <c r="D35" s="105"/>
      <c r="E35" s="122"/>
      <c r="F35" s="122"/>
      <c r="G35" s="122"/>
      <c r="H35" s="122"/>
      <c r="I35" s="122"/>
      <c r="J35" s="122"/>
      <c r="K35" s="68">
        <f t="shared" si="3"/>
        <v>0</v>
      </c>
      <c r="L35" s="140">
        <f t="shared" si="4"/>
        <v>0</v>
      </c>
      <c r="M35" s="40">
        <f t="shared" si="5"/>
        <v>0</v>
      </c>
      <c r="N35" s="40">
        <f t="shared" si="6"/>
        <v>0</v>
      </c>
      <c r="O35" s="142">
        <f t="shared" si="7"/>
        <v>0</v>
      </c>
      <c r="P35" s="127">
        <f t="shared" si="0"/>
        <v>0.30555555555555552</v>
      </c>
      <c r="Q35" s="134" t="str">
        <f t="shared" si="8"/>
        <v/>
      </c>
      <c r="R35" s="127">
        <f t="shared" si="9"/>
        <v>0.30555555555555552</v>
      </c>
      <c r="S35" s="142">
        <f t="shared" si="10"/>
        <v>0</v>
      </c>
      <c r="T35" s="148">
        <f t="shared" si="11"/>
        <v>0</v>
      </c>
      <c r="U35" s="90"/>
      <c r="V35" s="90"/>
      <c r="W35" s="90"/>
      <c r="X35" s="90"/>
      <c r="Z35" s="124">
        <f t="shared" si="12"/>
        <v>0</v>
      </c>
      <c r="AA35" s="125">
        <f t="shared" si="13"/>
        <v>0</v>
      </c>
      <c r="AB35" s="124">
        <f t="shared" si="14"/>
        <v>0</v>
      </c>
      <c r="AC35" s="124">
        <f t="shared" si="15"/>
        <v>0</v>
      </c>
      <c r="AD35" s="124">
        <f t="shared" si="16"/>
        <v>0</v>
      </c>
      <c r="AE35" s="181">
        <f t="shared" si="17"/>
        <v>0</v>
      </c>
    </row>
    <row r="36" spans="1:31" ht="18" customHeight="1" x14ac:dyDescent="0.2">
      <c r="A36" s="34">
        <f t="shared" si="1"/>
        <v>8</v>
      </c>
      <c r="B36" s="38">
        <f>IF(B35="","",IF(B35&gt;=W117,"",B35+1))</f>
        <v>45380</v>
      </c>
      <c r="C36" s="39" t="str">
        <f t="shared" si="2"/>
        <v>feriado</v>
      </c>
      <c r="D36" s="105"/>
      <c r="E36" s="122"/>
      <c r="F36" s="122"/>
      <c r="G36" s="122"/>
      <c r="H36" s="122"/>
      <c r="I36" s="122"/>
      <c r="J36" s="122"/>
      <c r="K36" s="68">
        <f t="shared" si="3"/>
        <v>0</v>
      </c>
      <c r="L36" s="140">
        <f t="shared" si="4"/>
        <v>0</v>
      </c>
      <c r="M36" s="40">
        <f t="shared" si="5"/>
        <v>0</v>
      </c>
      <c r="N36" s="40">
        <f t="shared" si="6"/>
        <v>0</v>
      </c>
      <c r="O36" s="142">
        <f t="shared" si="7"/>
        <v>0</v>
      </c>
      <c r="P36" s="127">
        <f t="shared" si="0"/>
        <v>0.30555555555555552</v>
      </c>
      <c r="Q36" s="134" t="str">
        <f t="shared" si="8"/>
        <v/>
      </c>
      <c r="R36" s="127">
        <f t="shared" si="9"/>
        <v>0.30555555555555552</v>
      </c>
      <c r="S36" s="142">
        <f t="shared" si="10"/>
        <v>0</v>
      </c>
      <c r="T36" s="148">
        <f t="shared" si="11"/>
        <v>0</v>
      </c>
      <c r="U36" s="90"/>
      <c r="V36" s="90"/>
      <c r="W36" s="90"/>
      <c r="X36" s="90"/>
      <c r="Z36" s="124">
        <f t="shared" si="12"/>
        <v>0</v>
      </c>
      <c r="AA36" s="125">
        <f t="shared" si="13"/>
        <v>0</v>
      </c>
      <c r="AB36" s="124">
        <f t="shared" si="14"/>
        <v>0</v>
      </c>
      <c r="AC36" s="124">
        <f t="shared" si="15"/>
        <v>0</v>
      </c>
      <c r="AD36" s="124">
        <f t="shared" si="16"/>
        <v>0</v>
      </c>
      <c r="AE36" s="181">
        <f t="shared" si="17"/>
        <v>0</v>
      </c>
    </row>
    <row r="37" spans="1:31" ht="18" customHeight="1" x14ac:dyDescent="0.2">
      <c r="A37" s="34">
        <f t="shared" si="1"/>
        <v>7</v>
      </c>
      <c r="B37" s="38">
        <f>IF(B36="","",IF(B36&gt;=W117,"",B36+1))</f>
        <v>45381</v>
      </c>
      <c r="C37" s="39">
        <f t="shared" si="2"/>
        <v>45381</v>
      </c>
      <c r="D37" s="105"/>
      <c r="E37" s="122"/>
      <c r="F37" s="122"/>
      <c r="G37" s="122"/>
      <c r="H37" s="122"/>
      <c r="I37" s="122"/>
      <c r="J37" s="122"/>
      <c r="K37" s="68">
        <f t="shared" si="3"/>
        <v>0</v>
      </c>
      <c r="L37" s="140">
        <f t="shared" si="4"/>
        <v>0</v>
      </c>
      <c r="M37" s="40">
        <f t="shared" si="5"/>
        <v>0</v>
      </c>
      <c r="N37" s="40">
        <f t="shared" si="6"/>
        <v>0</v>
      </c>
      <c r="O37" s="142">
        <f t="shared" si="7"/>
        <v>0</v>
      </c>
      <c r="P37" s="127">
        <f t="shared" si="0"/>
        <v>0.30555555555555552</v>
      </c>
      <c r="Q37" s="134" t="str">
        <f t="shared" si="8"/>
        <v/>
      </c>
      <c r="R37" s="127">
        <f t="shared" si="9"/>
        <v>0.30555555555555552</v>
      </c>
      <c r="S37" s="142">
        <f t="shared" si="10"/>
        <v>0</v>
      </c>
      <c r="T37" s="148">
        <f t="shared" si="11"/>
        <v>0</v>
      </c>
      <c r="U37" s="90"/>
      <c r="V37" s="90"/>
      <c r="W37" s="90"/>
      <c r="X37" s="90"/>
      <c r="Z37" s="124">
        <f t="shared" si="12"/>
        <v>0</v>
      </c>
      <c r="AA37" s="125">
        <f t="shared" si="13"/>
        <v>0</v>
      </c>
      <c r="AB37" s="124">
        <f t="shared" si="14"/>
        <v>0</v>
      </c>
      <c r="AC37" s="124">
        <f t="shared" si="15"/>
        <v>0</v>
      </c>
      <c r="AD37" s="124">
        <f t="shared" si="16"/>
        <v>0</v>
      </c>
      <c r="AE37" s="181">
        <f t="shared" si="17"/>
        <v>0</v>
      </c>
    </row>
    <row r="38" spans="1:31" ht="18" customHeight="1" x14ac:dyDescent="0.2">
      <c r="A38" s="34">
        <f t="shared" si="1"/>
        <v>1</v>
      </c>
      <c r="B38" s="41">
        <f>IF(B37="","",IF(B37&gt;=W117,"",B37+1))</f>
        <v>45382</v>
      </c>
      <c r="C38" s="42">
        <f t="shared" si="2"/>
        <v>45382</v>
      </c>
      <c r="D38" s="106"/>
      <c r="E38" s="123"/>
      <c r="F38" s="122"/>
      <c r="G38" s="122"/>
      <c r="H38" s="123"/>
      <c r="I38" s="123"/>
      <c r="J38" s="123"/>
      <c r="K38" s="75">
        <f t="shared" si="3"/>
        <v>0</v>
      </c>
      <c r="L38" s="75">
        <f t="shared" si="4"/>
        <v>0</v>
      </c>
      <c r="M38" s="43">
        <f t="shared" si="5"/>
        <v>0</v>
      </c>
      <c r="N38" s="43">
        <f t="shared" si="6"/>
        <v>0</v>
      </c>
      <c r="O38" s="44">
        <f>IF(B38="","",MOD((AA38-Z38)+(AC38-AB38)+(AE38-AD38),1)+M38)</f>
        <v>0</v>
      </c>
      <c r="P38" s="126">
        <f t="shared" si="0"/>
        <v>0.30555555555555552</v>
      </c>
      <c r="Q38" s="134" t="str">
        <f t="shared" si="8"/>
        <v/>
      </c>
      <c r="R38" s="127">
        <f t="shared" si="9"/>
        <v>0.30555555555555552</v>
      </c>
      <c r="S38" s="44">
        <f>IF(B38="","",IF(AND(WEEKDAY(B38,1)=7,P38=0,D38&lt;&gt;"F"),MAX(0,O38-P38),IF(P38=0,0,MAX(0,O38-P38))))</f>
        <v>0</v>
      </c>
      <c r="T38" s="45">
        <f>IF(B38="","",IF(AND(WEEKDAY(B38,1)=7,P38=0,D38="F"),0,IF(P38=0,O38,0)))</f>
        <v>0</v>
      </c>
      <c r="U38" s="90"/>
      <c r="V38" s="90"/>
      <c r="W38" s="90"/>
      <c r="X38" s="90"/>
      <c r="Z38" s="124">
        <f t="shared" si="12"/>
        <v>0</v>
      </c>
      <c r="AA38" s="125">
        <f t="shared" si="13"/>
        <v>0</v>
      </c>
      <c r="AB38" s="124">
        <f t="shared" si="14"/>
        <v>0</v>
      </c>
      <c r="AC38" s="124">
        <f t="shared" si="15"/>
        <v>0</v>
      </c>
      <c r="AD38" s="124">
        <f t="shared" si="16"/>
        <v>0</v>
      </c>
      <c r="AE38" s="181">
        <f t="shared" si="17"/>
        <v>0</v>
      </c>
    </row>
    <row r="39" spans="1:31" ht="18" customHeight="1" x14ac:dyDescent="0.2">
      <c r="B39" s="54" t="s">
        <v>24</v>
      </c>
      <c r="C39" s="54" t="s">
        <v>25</v>
      </c>
      <c r="D39" s="54"/>
      <c r="E39" s="54" t="s">
        <v>30</v>
      </c>
      <c r="F39" s="54" t="s">
        <v>31</v>
      </c>
      <c r="G39" s="54" t="s">
        <v>32</v>
      </c>
      <c r="H39" s="54" t="s">
        <v>33</v>
      </c>
      <c r="I39" s="61"/>
      <c r="J39" s="61"/>
      <c r="K39" s="61" t="s">
        <v>34</v>
      </c>
      <c r="L39" s="62" t="s">
        <v>35</v>
      </c>
      <c r="M39" s="63" t="s">
        <v>36</v>
      </c>
      <c r="N39" s="64">
        <f>SUM(N8:N38)</f>
        <v>0</v>
      </c>
      <c r="O39" s="64">
        <f>SUM(O8:O38)</f>
        <v>0</v>
      </c>
      <c r="P39" s="59" t="s">
        <v>36</v>
      </c>
      <c r="Q39" s="64">
        <f>SUM(Q8:Q38)</f>
        <v>0</v>
      </c>
      <c r="R39" s="64">
        <f>SUM(R7:R38)</f>
        <v>38.186111111111217</v>
      </c>
      <c r="S39" s="64">
        <f>SUM(S7:S38)</f>
        <v>0</v>
      </c>
      <c r="T39" s="64">
        <f>SUM(T8:T38)</f>
        <v>0</v>
      </c>
      <c r="U39" s="91"/>
      <c r="V39" s="91"/>
      <c r="W39" s="91"/>
      <c r="X39" s="91"/>
    </row>
    <row r="40" spans="1:31" ht="18" customHeight="1" x14ac:dyDescent="0.2">
      <c r="B40" s="55">
        <f>B8</f>
        <v>45352</v>
      </c>
      <c r="C40" s="55">
        <f>MAX(B8:B38)</f>
        <v>45382</v>
      </c>
      <c r="D40" s="55"/>
      <c r="E40" s="56">
        <f>COUNTIF(C8:C38,"feriado")</f>
        <v>1</v>
      </c>
      <c r="F40" s="57">
        <f ca="1">SUMPRODUCT((WEEKDAY(ROW(INDIRECT($B40&amp;":"&amp;$C40)))=1)*(COUNTIF(fer,ROW(INDIRECT($B40&amp;":"&amp;$C40)))=0))</f>
        <v>5</v>
      </c>
      <c r="G40" s="57">
        <f>C40-B40+1</f>
        <v>31</v>
      </c>
      <c r="H40" s="57">
        <f ca="1">G40-K40</f>
        <v>25</v>
      </c>
      <c r="I40" s="60"/>
      <c r="J40" s="60"/>
      <c r="K40" s="60">
        <f ca="1">E40+F40</f>
        <v>6</v>
      </c>
      <c r="L40" s="65" t="str">
        <f ca="1">H40&amp;"/"&amp;K40</f>
        <v>25/6</v>
      </c>
      <c r="M40" s="66" t="s">
        <v>37</v>
      </c>
      <c r="N40" s="58">
        <f>N39*24</f>
        <v>0</v>
      </c>
      <c r="O40" s="58">
        <f>O39*24</f>
        <v>0</v>
      </c>
      <c r="P40" s="59" t="s">
        <v>37</v>
      </c>
      <c r="Q40" s="58">
        <f t="shared" ref="Q40:R40" si="19">Q39*24</f>
        <v>0</v>
      </c>
      <c r="R40" s="58">
        <f t="shared" si="19"/>
        <v>916.4666666666692</v>
      </c>
      <c r="S40" s="58">
        <f>S39*24</f>
        <v>0</v>
      </c>
      <c r="T40" s="58">
        <f>T39*24</f>
        <v>0</v>
      </c>
      <c r="U40" s="92"/>
      <c r="V40" s="92"/>
      <c r="W40" s="92"/>
      <c r="X40" s="92"/>
    </row>
    <row r="41" spans="1:31" ht="18" customHeight="1" x14ac:dyDescent="0.2">
      <c r="B41" s="114" t="str">
        <f>IF(dia_f="","",DATE(YEAR(W117),MONTH(W117),1))</f>
        <v/>
      </c>
      <c r="C41" s="115" t="str">
        <f>IF(dia_f="","",EOMONTH(B41,0))</f>
        <v/>
      </c>
      <c r="D41" s="67"/>
      <c r="E41" s="56" t="str">
        <f>IF(B41="","",SUMPRODUCT(((WEEKDAY(fer)&gt;1))*(fer&gt;=B41)*(fer&lt;=C41)))</f>
        <v/>
      </c>
      <c r="F41" s="57" t="str">
        <f ca="1">IF(B41="","",SUMPRODUCT((WEEKDAY(ROW(INDIRECT($B41&amp;":"&amp;$C41)))=1)*1))</f>
        <v/>
      </c>
      <c r="G41" s="107" t="str">
        <f>IF(B41="","",DAY(C41))</f>
        <v/>
      </c>
      <c r="H41" s="107" t="str">
        <f ca="1">IF(B41="","",SUMPRODUCT((WEEKDAY(ROW(INDIRECT(B41&amp;":"&amp;C41)))&gt;1)*(COUNTIF(fer,ROW(INDIRECT(B41&amp;":"&amp;C41)))=0)))</f>
        <v/>
      </c>
      <c r="I41" s="107"/>
      <c r="J41" s="107"/>
      <c r="K41" s="60" t="str">
        <f>IF(B41="","",E41+F41)</f>
        <v/>
      </c>
      <c r="L41" s="65" t="str">
        <f>IF(B41="","",H41&amp;"/"&amp;K41)</f>
        <v/>
      </c>
      <c r="M41" s="67" t="s">
        <v>38</v>
      </c>
      <c r="N41" s="58">
        <f ca="1">N40/$H$40*$K$40</f>
        <v>0</v>
      </c>
      <c r="O41" s="152"/>
      <c r="P41" s="153"/>
      <c r="Q41" s="153"/>
      <c r="R41" s="153"/>
      <c r="S41" s="154"/>
      <c r="T41" s="154"/>
      <c r="U41" s="92"/>
      <c r="V41" s="92"/>
      <c r="W41" s="92"/>
      <c r="X41" s="92"/>
    </row>
    <row r="42" spans="1:31" ht="18" customHeight="1" x14ac:dyDescent="0.2">
      <c r="M42" s="117" t="str">
        <f>IF(B41="","","Dsr mês:")</f>
        <v/>
      </c>
      <c r="N42" s="188" t="str">
        <f>IF(B41="","",N40/H41*K41)</f>
        <v/>
      </c>
      <c r="O42" s="206" t="str">
        <f>IF(B41="","","Dsr mês:")</f>
        <v/>
      </c>
      <c r="P42" s="206"/>
      <c r="Q42" s="151"/>
      <c r="R42" s="151"/>
      <c r="S42" s="92" t="str">
        <f>IF(B41="","",S40/$H$41*$K$41)</f>
        <v/>
      </c>
      <c r="T42" s="92" t="str">
        <f>IF(B41="","",T40/$H$41*$K$41)</f>
        <v/>
      </c>
    </row>
    <row r="44" spans="1:31" ht="18.75" x14ac:dyDescent="0.2">
      <c r="C44" s="70"/>
      <c r="D44" s="120"/>
      <c r="H44" s="1"/>
      <c r="I44" s="1"/>
      <c r="J44" s="1"/>
      <c r="K44" s="1"/>
      <c r="L44" s="1"/>
      <c r="M44" s="1"/>
      <c r="N44" s="1"/>
    </row>
    <row r="45" spans="1:31" x14ac:dyDescent="0.2">
      <c r="D45" s="135"/>
    </row>
    <row r="47" spans="1:31" x14ac:dyDescent="0.2">
      <c r="D47" s="136"/>
    </row>
    <row r="48" spans="1:31" x14ac:dyDescent="0.2">
      <c r="D48" s="136"/>
    </row>
    <row r="116" spans="4:24" x14ac:dyDescent="0.2">
      <c r="W116" s="73">
        <f>B8</f>
        <v>45352</v>
      </c>
      <c r="X116" s="69" t="s">
        <v>39</v>
      </c>
    </row>
    <row r="117" spans="4:24" x14ac:dyDescent="0.2">
      <c r="W117" s="73">
        <f>IF(DAY(B8)=1,EOMONTH(B8,0),DATE(YEAR(B8),MONTH(B8)+1,dia_f))</f>
        <v>45382</v>
      </c>
      <c r="X117" s="69" t="s">
        <v>40</v>
      </c>
    </row>
    <row r="119" spans="4:24" x14ac:dyDescent="0.2">
      <c r="D119" s="69" t="s">
        <v>41</v>
      </c>
      <c r="F119" s="69" t="s">
        <v>42</v>
      </c>
    </row>
    <row r="120" spans="4:24" x14ac:dyDescent="0.2">
      <c r="D120" s="116">
        <v>1</v>
      </c>
      <c r="F120" s="118">
        <v>2020</v>
      </c>
    </row>
    <row r="121" spans="4:24" x14ac:dyDescent="0.2">
      <c r="D121" s="119">
        <v>2</v>
      </c>
      <c r="F121" s="118">
        <v>2021</v>
      </c>
    </row>
    <row r="122" spans="4:24" x14ac:dyDescent="0.2">
      <c r="D122" s="119">
        <v>3</v>
      </c>
      <c r="F122" s="118">
        <v>2022</v>
      </c>
    </row>
    <row r="123" spans="4:24" x14ac:dyDescent="0.2">
      <c r="D123" s="120">
        <v>4</v>
      </c>
      <c r="F123" s="118">
        <v>2023</v>
      </c>
    </row>
    <row r="124" spans="4:24" x14ac:dyDescent="0.2">
      <c r="D124" s="120">
        <v>5</v>
      </c>
      <c r="F124" s="118">
        <v>2024</v>
      </c>
    </row>
    <row r="125" spans="4:24" x14ac:dyDescent="0.2">
      <c r="D125" s="120">
        <v>6</v>
      </c>
      <c r="F125" s="118">
        <v>2025</v>
      </c>
    </row>
    <row r="126" spans="4:24" x14ac:dyDescent="0.2">
      <c r="D126" s="120">
        <v>7</v>
      </c>
      <c r="F126" s="118">
        <v>2026</v>
      </c>
    </row>
    <row r="127" spans="4:24" x14ac:dyDescent="0.2">
      <c r="D127" s="120">
        <v>8</v>
      </c>
      <c r="F127" s="118">
        <v>2027</v>
      </c>
    </row>
    <row r="128" spans="4:24" x14ac:dyDescent="0.2">
      <c r="D128" s="120">
        <v>9</v>
      </c>
      <c r="F128" s="118">
        <v>2028</v>
      </c>
    </row>
    <row r="129" spans="4:6" x14ac:dyDescent="0.2">
      <c r="D129" s="120">
        <v>10</v>
      </c>
      <c r="F129" s="118">
        <v>2029</v>
      </c>
    </row>
    <row r="130" spans="4:6" x14ac:dyDescent="0.2">
      <c r="D130" s="120">
        <v>11</v>
      </c>
      <c r="F130" s="118">
        <v>2030</v>
      </c>
    </row>
    <row r="131" spans="4:6" x14ac:dyDescent="0.2">
      <c r="D131" s="120">
        <v>12</v>
      </c>
      <c r="F131" s="118">
        <v>2031</v>
      </c>
    </row>
    <row r="150" spans="2:4" x14ac:dyDescent="0.2">
      <c r="B150" s="69"/>
      <c r="C150" s="70"/>
      <c r="D150" s="70"/>
    </row>
    <row r="151" spans="2:4" x14ac:dyDescent="0.2">
      <c r="B151" s="69"/>
      <c r="C151" s="70"/>
      <c r="D151" s="70"/>
    </row>
  </sheetData>
  <mergeCells count="9">
    <mergeCell ref="O42:P42"/>
    <mergeCell ref="H2:H3"/>
    <mergeCell ref="S2:S4"/>
    <mergeCell ref="Z6:AE6"/>
    <mergeCell ref="B5:C5"/>
    <mergeCell ref="W6:X7"/>
    <mergeCell ref="B7:C7"/>
    <mergeCell ref="W17:X17"/>
    <mergeCell ref="W20:X20"/>
  </mergeCells>
  <conditionalFormatting sqref="B8:C38">
    <cfRule type="expression" dxfId="14" priority="10">
      <formula>WEEKDAY($B8,2)=7</formula>
    </cfRule>
    <cfRule type="expression" dxfId="13" priority="11">
      <formula>COUNTIF(fer,$B8)&gt;0</formula>
    </cfRule>
  </conditionalFormatting>
  <conditionalFormatting sqref="D8:D38">
    <cfRule type="cellIs" dxfId="12" priority="9" operator="equal">
      <formula>"F"</formula>
    </cfRule>
  </conditionalFormatting>
  <conditionalFormatting sqref="M42">
    <cfRule type="expression" dxfId="11" priority="8">
      <formula>$B$41&lt;&gt;""</formula>
    </cfRule>
  </conditionalFormatting>
  <conditionalFormatting sqref="N42">
    <cfRule type="expression" dxfId="10" priority="7">
      <formula>$B$41&lt;&gt;""</formula>
    </cfRule>
  </conditionalFormatting>
  <conditionalFormatting sqref="O42:R42">
    <cfRule type="expression" dxfId="9" priority="6">
      <formula>$B$41&lt;&gt;""</formula>
    </cfRule>
  </conditionalFormatting>
  <conditionalFormatting sqref="S42:T42">
    <cfRule type="expression" dxfId="8" priority="5">
      <formula>$B$41&lt;&gt;""</formula>
    </cfRule>
  </conditionalFormatting>
  <conditionalFormatting sqref="K8:T38">
    <cfRule type="expression" dxfId="7" priority="4">
      <formula>$D8="F"</formula>
    </cfRule>
  </conditionalFormatting>
  <conditionalFormatting sqref="Q8:Q38">
    <cfRule type="expression" dxfId="6" priority="3">
      <formula>Q8&gt;0</formula>
    </cfRule>
  </conditionalFormatting>
  <conditionalFormatting sqref="R7:R38">
    <cfRule type="expression" dxfId="5" priority="2">
      <formula>R7&gt;0</formula>
    </cfRule>
  </conditionalFormatting>
  <conditionalFormatting sqref="E8:J38">
    <cfRule type="expression" dxfId="4" priority="1">
      <formula>$D8="F"</formula>
    </cfRule>
  </conditionalFormatting>
  <dataValidations count="1">
    <dataValidation type="custom" allowBlank="1" showInputMessage="1" showErrorMessage="1" sqref="E8:J38" xr:uid="{B97EFF49-A445-47F7-8DF3-07C6C60EB9BB}">
      <formula1>OR(E8=2400,TEXT(E8,"00\:00")=TEXT(Z8,"hh:mm"))</formula1>
    </dataValidation>
  </dataValidations>
  <pageMargins left="0.75" right="0.75" top="1" bottom="1" header="0.49212598499999999" footer="0.49212598499999999"/>
  <pageSetup paperSize="9" scale="83" orientation="landscape" r:id="rId1"/>
  <headerFooter alignWithMargins="0"/>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172" r:id="rId4" name="Botão 4">
              <controlPr defaultSize="0" print="0" autoFill="0" autoPict="0" macro="[0]!Limpar_Click">
                <anchor moveWithCells="1" sizeWithCells="1">
                  <from>
                    <xdr:col>22</xdr:col>
                    <xdr:colOff>133350</xdr:colOff>
                    <xdr:row>33</xdr:row>
                    <xdr:rowOff>28575</xdr:rowOff>
                  </from>
                  <to>
                    <xdr:col>23</xdr:col>
                    <xdr:colOff>495300</xdr:colOff>
                    <xdr:row>35</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2">
    <tabColor theme="4" tint="-0.249977111117893"/>
  </sheetPr>
  <dimension ref="A1:X36"/>
  <sheetViews>
    <sheetView showGridLines="0" workbookViewId="0">
      <selection activeCell="F12" sqref="F12"/>
    </sheetView>
  </sheetViews>
  <sheetFormatPr defaultRowHeight="12.75" x14ac:dyDescent="0.2"/>
  <cols>
    <col min="1" max="1" width="4.7109375" customWidth="1"/>
    <col min="2" max="2" width="6.7109375" customWidth="1"/>
    <col min="3" max="3" width="26.85546875" customWidth="1"/>
    <col min="4" max="4" width="14.42578125" customWidth="1"/>
    <col min="5" max="6" width="10.7109375" bestFit="1" customWidth="1"/>
    <col min="7" max="7" width="12.42578125" customWidth="1"/>
    <col min="22" max="23" width="0" hidden="1" customWidth="1"/>
    <col min="24" max="24" width="10.140625" hidden="1" customWidth="1"/>
    <col min="25" max="25" width="0" hidden="1" customWidth="1"/>
  </cols>
  <sheetData>
    <row r="1" spans="1:24" ht="20.100000000000001" customHeight="1" x14ac:dyDescent="0.2">
      <c r="A1" s="233" t="s">
        <v>43</v>
      </c>
      <c r="B1" s="233"/>
      <c r="C1" s="46" t="s">
        <v>44</v>
      </c>
      <c r="D1" s="233" t="s">
        <v>45</v>
      </c>
      <c r="E1" s="233"/>
    </row>
    <row r="2" spans="1:24" ht="20.100000000000001" customHeight="1" x14ac:dyDescent="0.25">
      <c r="A2" s="32"/>
      <c r="B2" s="33">
        <f>ano_p</f>
        <v>2023</v>
      </c>
      <c r="C2" s="77">
        <f>ROUND(DATE($B$2,4,MOD(234-11*MOD($B$2,19),30))/7,)*7-6</f>
        <v>45025</v>
      </c>
      <c r="D2" s="50" t="s">
        <v>46</v>
      </c>
      <c r="E2" s="52">
        <f>ININOT</f>
        <v>0.91666666666666663</v>
      </c>
    </row>
    <row r="3" spans="1:24" ht="20.100000000000001" customHeight="1" x14ac:dyDescent="0.2">
      <c r="A3" s="47"/>
      <c r="B3" s="48"/>
      <c r="C3" s="49"/>
      <c r="D3" s="51" t="s">
        <v>47</v>
      </c>
      <c r="E3" s="53">
        <f>FIMNOT</f>
        <v>0.20833333333333334</v>
      </c>
    </row>
    <row r="4" spans="1:24" ht="15" x14ac:dyDescent="0.2">
      <c r="A4" s="234" t="s">
        <v>48</v>
      </c>
      <c r="B4" s="235"/>
      <c r="C4" s="235"/>
      <c r="D4" s="235"/>
      <c r="E4" s="235"/>
      <c r="F4" s="235"/>
      <c r="G4" s="84"/>
    </row>
    <row r="5" spans="1:24" ht="18" customHeight="1" x14ac:dyDescent="0.25">
      <c r="A5" s="224" t="s">
        <v>49</v>
      </c>
      <c r="B5" s="15" t="s">
        <v>50</v>
      </c>
      <c r="C5" s="12" t="s">
        <v>51</v>
      </c>
      <c r="D5" s="76">
        <f>IF($B$5="X",DATE($B$2-1,1,1),DATE(1905,1,1))</f>
        <v>44562</v>
      </c>
      <c r="E5" s="76">
        <f>IF($B$5="X",DATE($B$2,1,1),DATE(1905,1,1))</f>
        <v>44927</v>
      </c>
      <c r="F5" s="76">
        <f>IF($B$5="X",DATE($B$2+1,1,1),DATE(1905,1,1))</f>
        <v>45292</v>
      </c>
      <c r="G5" s="89">
        <f>ROUND(DATE($B$2-1,4,MOD(234-11*MOD($B$2-1,19),30))/7,)*7-6</f>
        <v>44668</v>
      </c>
      <c r="V5" s="34">
        <v>1</v>
      </c>
      <c r="W5" s="34">
        <v>1</v>
      </c>
      <c r="X5" s="35">
        <f>DATE(1905,1,1)</f>
        <v>1828</v>
      </c>
    </row>
    <row r="6" spans="1:24" ht="18" customHeight="1" x14ac:dyDescent="0.25">
      <c r="A6" s="225"/>
      <c r="B6" s="16" t="s">
        <v>50</v>
      </c>
      <c r="C6" s="13" t="s">
        <v>52</v>
      </c>
      <c r="D6" s="14">
        <f>IF($B$6="X",DATE($B$2-1,4,21),DATE(1905,1,1))</f>
        <v>44672</v>
      </c>
      <c r="E6" s="86">
        <f>IF($B$6="X",DATE($B$2,4,21),DATE(1905,1,1))</f>
        <v>45037</v>
      </c>
      <c r="F6" s="86">
        <f>IF($B$6="X",DATE($B$2+1,4,21),DATE(1905,1,1))</f>
        <v>45403</v>
      </c>
      <c r="G6" s="89">
        <f>ROUND(DATE($B$2+1,4,MOD(234-11*MOD($B$2+1,19),30))/7,)*7-6</f>
        <v>45382</v>
      </c>
      <c r="V6" s="34">
        <v>2</v>
      </c>
      <c r="W6" s="34">
        <v>2</v>
      </c>
      <c r="X6" s="34"/>
    </row>
    <row r="7" spans="1:24" ht="18" customHeight="1" x14ac:dyDescent="0.25">
      <c r="A7" s="225"/>
      <c r="B7" s="16" t="s">
        <v>50</v>
      </c>
      <c r="C7" s="13" t="s">
        <v>53</v>
      </c>
      <c r="D7" s="14">
        <f>IF($B$7="X",DATE($B$2-1,5,1),DATE(1905,1,1))</f>
        <v>44682</v>
      </c>
      <c r="E7" s="86">
        <f>IF($B$7="X",DATE($B$2,5,1),DATE(1905,1,1))</f>
        <v>45047</v>
      </c>
      <c r="F7" s="86">
        <f>IF($B$7="X",DATE($B$2+1,5,1),DATE(1905,1,1))</f>
        <v>45413</v>
      </c>
      <c r="G7" s="5"/>
      <c r="V7" s="34">
        <v>3</v>
      </c>
      <c r="W7" s="34">
        <v>3</v>
      </c>
      <c r="X7" s="34"/>
    </row>
    <row r="8" spans="1:24" ht="18" customHeight="1" x14ac:dyDescent="0.25">
      <c r="A8" s="225"/>
      <c r="B8" s="16" t="s">
        <v>50</v>
      </c>
      <c r="C8" s="13" t="s">
        <v>54</v>
      </c>
      <c r="D8" s="14">
        <f>IF($B$8="X",DATE($B$2-1,9,7),DATE(1905,1,1))</f>
        <v>44811</v>
      </c>
      <c r="E8" s="86">
        <f>IF($B$8="X",DATE($B$2,9,7),DATE(1905,1,1))</f>
        <v>45176</v>
      </c>
      <c r="F8" s="86">
        <f>IF($B$8="X",DATE($B$2+1,9,7),DATE(1905,1,1))</f>
        <v>45542</v>
      </c>
      <c r="G8" s="5"/>
      <c r="V8" s="34">
        <v>4</v>
      </c>
      <c r="W8" s="34">
        <v>4</v>
      </c>
      <c r="X8" s="34"/>
    </row>
    <row r="9" spans="1:24" ht="18" customHeight="1" x14ac:dyDescent="0.25">
      <c r="A9" s="225"/>
      <c r="B9" s="16" t="s">
        <v>50</v>
      </c>
      <c r="C9" s="13" t="s">
        <v>55</v>
      </c>
      <c r="D9" s="14">
        <f>IF($B$9="X",DATE($B$2-1,10,12),DATE(1905,1,1))</f>
        <v>44846</v>
      </c>
      <c r="E9" s="86">
        <f>IF($B$9="X",DATE($B$2,10,12),DATE(1905,1,1))</f>
        <v>45211</v>
      </c>
      <c r="F9" s="86">
        <f>IF($B$9="X",DATE($B$2+1,10,12),DATE(1905,1,1))</f>
        <v>45577</v>
      </c>
      <c r="G9" s="5"/>
      <c r="V9" s="34">
        <v>5</v>
      </c>
      <c r="W9" s="34">
        <v>5</v>
      </c>
      <c r="X9" s="34"/>
    </row>
    <row r="10" spans="1:24" ht="18" customHeight="1" x14ac:dyDescent="0.25">
      <c r="A10" s="225"/>
      <c r="B10" s="16" t="s">
        <v>50</v>
      </c>
      <c r="C10" s="13" t="s">
        <v>56</v>
      </c>
      <c r="D10" s="14">
        <f>IF($B$10="X",DATE($B$2-1,11,2),DATE(1905,1,1))</f>
        <v>44867</v>
      </c>
      <c r="E10" s="86">
        <f>IF($B$10="X",DATE($B$2,11,2),DATE(1905,1,1))</f>
        <v>45232</v>
      </c>
      <c r="F10" s="86">
        <f>IF($B$10="X",DATE($B$2+1,11,2),DATE(1905,1,1))</f>
        <v>45598</v>
      </c>
      <c r="G10" s="5"/>
      <c r="V10" s="34">
        <v>6</v>
      </c>
      <c r="W10" s="34">
        <v>6</v>
      </c>
      <c r="X10" s="34"/>
    </row>
    <row r="11" spans="1:24" ht="18" customHeight="1" x14ac:dyDescent="0.25">
      <c r="A11" s="225"/>
      <c r="B11" s="16" t="s">
        <v>50</v>
      </c>
      <c r="C11" s="13" t="s">
        <v>57</v>
      </c>
      <c r="D11" s="14">
        <f>IF($B$11="X",DATE($B$2-1,11,15),DATE(1905,1,1))</f>
        <v>44880</v>
      </c>
      <c r="E11" s="86">
        <f>IF($B$11="X",DATE($B$2,11,15),DATE(1905,1,1))</f>
        <v>45245</v>
      </c>
      <c r="F11" s="86">
        <f>IF($B$11="X",DATE($B$2+1,11,15),DATE(1905,1,1))</f>
        <v>45611</v>
      </c>
      <c r="G11" s="5"/>
      <c r="V11" s="34">
        <v>7</v>
      </c>
      <c r="W11" s="34">
        <v>7</v>
      </c>
      <c r="X11" s="34"/>
    </row>
    <row r="12" spans="1:24" ht="18" customHeight="1" x14ac:dyDescent="0.25">
      <c r="A12" s="226"/>
      <c r="B12" s="198" t="s">
        <v>50</v>
      </c>
      <c r="C12" s="199" t="s">
        <v>89</v>
      </c>
      <c r="D12" s="14">
        <f>IF($B$12="X",DATE($B$2-1,11,20),DATE(1905,1,1))</f>
        <v>44885</v>
      </c>
      <c r="E12" s="86">
        <f>IF($B$12="X",DATE($B$2,11,20),DATE(1905,1,1))</f>
        <v>45250</v>
      </c>
      <c r="F12" s="86">
        <f>IF($B$12="X",DATE($B$2+1,11,20),DATE(1905,1,1))</f>
        <v>45616</v>
      </c>
      <c r="G12" s="5"/>
      <c r="V12" s="34"/>
      <c r="W12" s="34"/>
      <c r="X12" s="34"/>
    </row>
    <row r="13" spans="1:24" ht="18" customHeight="1" x14ac:dyDescent="0.25">
      <c r="A13" s="227"/>
      <c r="B13" s="19" t="s">
        <v>50</v>
      </c>
      <c r="C13" s="20" t="s">
        <v>58</v>
      </c>
      <c r="D13" s="21">
        <f>IF($B$13="X",DATE($B$2-1,12,25),DATE(1905,1,1))</f>
        <v>44920</v>
      </c>
      <c r="E13" s="87">
        <f>IF($B$13="X",DATE($B$2,12,25),DATE(1905,1,1))</f>
        <v>45285</v>
      </c>
      <c r="F13" s="87">
        <f>IF($B$13="X",DATE($B$2+1,12,25),DATE(1905,1,1))</f>
        <v>45651</v>
      </c>
      <c r="G13" s="5"/>
      <c r="V13" s="34">
        <v>8</v>
      </c>
      <c r="W13" s="34">
        <v>8</v>
      </c>
      <c r="X13" s="34"/>
    </row>
    <row r="14" spans="1:24" ht="18" customHeight="1" x14ac:dyDescent="0.25">
      <c r="A14" s="228" t="s">
        <v>59</v>
      </c>
      <c r="B14" s="22" t="s">
        <v>50</v>
      </c>
      <c r="C14" s="10" t="s">
        <v>60</v>
      </c>
      <c r="D14" s="78">
        <f>IF($B$14="X",$G$5-2,DATE(1905,1,1))</f>
        <v>44666</v>
      </c>
      <c r="E14" s="78">
        <f>IF($B$14="X",páscoa-2,DATE(1905,1,1))</f>
        <v>45023</v>
      </c>
      <c r="F14" s="78">
        <f>IF($B$14="X",$G$6-2,DATE(1905,1,1))</f>
        <v>45380</v>
      </c>
      <c r="G14" s="5"/>
      <c r="V14" s="34">
        <v>9</v>
      </c>
      <c r="W14" s="34">
        <v>9</v>
      </c>
      <c r="X14" s="34"/>
    </row>
    <row r="15" spans="1:24" ht="18" customHeight="1" x14ac:dyDescent="0.25">
      <c r="A15" s="229"/>
      <c r="B15" s="18" t="s">
        <v>50</v>
      </c>
      <c r="C15" s="11" t="s">
        <v>61</v>
      </c>
      <c r="D15" s="79">
        <f>IF($B$15="X",$G$5+60,DATE(1905,1,1))</f>
        <v>44728</v>
      </c>
      <c r="E15" s="79">
        <f>IF($B$15="X",páscoa+60,DATE(1905,1,1))</f>
        <v>45085</v>
      </c>
      <c r="F15" s="79">
        <f>IF($B$15="X",$G$6+60,DATE(1905,1,1))</f>
        <v>45442</v>
      </c>
      <c r="G15" s="5"/>
      <c r="V15" s="34">
        <v>10</v>
      </c>
      <c r="W15" s="34">
        <v>10</v>
      </c>
      <c r="X15" s="34"/>
    </row>
    <row r="16" spans="1:24" ht="18" customHeight="1" x14ac:dyDescent="0.25">
      <c r="A16" s="230"/>
      <c r="B16" s="23"/>
      <c r="C16" s="24" t="s">
        <v>62</v>
      </c>
      <c r="D16" s="80">
        <f>IF($B$16="X",$G$5-47,DATE(1905,1,1))</f>
        <v>1828</v>
      </c>
      <c r="E16" s="80">
        <f>IF($B$16="X",páscoa-47,DATE(1905,1,1))</f>
        <v>1828</v>
      </c>
      <c r="F16" s="80">
        <f>IF($B$16="X",$G$6-47,DATE(1905,1,1))</f>
        <v>1828</v>
      </c>
      <c r="G16" s="85" t="s">
        <v>63</v>
      </c>
      <c r="H16" s="31" t="s">
        <v>64</v>
      </c>
      <c r="V16" s="34">
        <v>11</v>
      </c>
      <c r="W16" s="34">
        <v>11</v>
      </c>
      <c r="X16" s="34"/>
    </row>
    <row r="17" spans="1:24" ht="18" customHeight="1" x14ac:dyDescent="0.25">
      <c r="A17" s="231" t="s">
        <v>65</v>
      </c>
      <c r="B17" s="25" t="s">
        <v>50</v>
      </c>
      <c r="C17" s="26" t="s">
        <v>66</v>
      </c>
      <c r="D17" s="81">
        <f>IF($B$17="X",DATE($B$2-1,$H$17,$G$17),DATE(1905,1,1))</f>
        <v>44722</v>
      </c>
      <c r="E17" s="81">
        <f>IF($B$17="X",DATE($B$2,$H$17,$G$17),DATE(1905,1,1))</f>
        <v>45087</v>
      </c>
      <c r="F17" s="81">
        <f>IF($B$17="X",DATE($B$2+1,$H$17,$G$17),DATE(1905,1,1))</f>
        <v>45453</v>
      </c>
      <c r="G17" s="27">
        <v>10</v>
      </c>
      <c r="H17" s="27">
        <v>6</v>
      </c>
      <c r="V17" s="34">
        <v>12</v>
      </c>
      <c r="W17" s="34">
        <v>12</v>
      </c>
      <c r="X17" s="34"/>
    </row>
    <row r="18" spans="1:24" ht="18" customHeight="1" x14ac:dyDescent="0.25">
      <c r="A18" s="232"/>
      <c r="B18" s="17" t="s">
        <v>50</v>
      </c>
      <c r="C18" s="9" t="s">
        <v>67</v>
      </c>
      <c r="D18" s="82">
        <f>IF($B$18="X",DATE($B$2-1,H18,G18),DATE(1905,1,1))</f>
        <v>44736</v>
      </c>
      <c r="E18" s="81">
        <f>IF($B$18="X",DATE($B$2,H18,G18),DATE(1905,1,1))</f>
        <v>45101</v>
      </c>
      <c r="F18" s="81">
        <f>IF($B$18="X",DATE($B$2+1,H18,G18),DATE(1905,1,1))</f>
        <v>45467</v>
      </c>
      <c r="G18" s="28">
        <v>24</v>
      </c>
      <c r="H18" s="28">
        <v>6</v>
      </c>
      <c r="V18" s="34"/>
      <c r="W18" s="34">
        <v>13</v>
      </c>
      <c r="X18" s="34"/>
    </row>
    <row r="19" spans="1:24" ht="18" customHeight="1" x14ac:dyDescent="0.25">
      <c r="A19" s="232"/>
      <c r="B19" s="132"/>
      <c r="C19" s="9" t="s">
        <v>68</v>
      </c>
      <c r="D19" s="82">
        <f>IF($B$19="X",DATE($B$2-1,H19,G19),DATE(1905,1,1))</f>
        <v>1828</v>
      </c>
      <c r="E19" s="81">
        <f>IF($B$19="X",DATE($B$2,H19,G19),DATE(1905,1,1))</f>
        <v>1828</v>
      </c>
      <c r="F19" s="81">
        <f>IF($B$19="X",DATE($B$2,H19,G19),DATE(1905,1,1))</f>
        <v>1828</v>
      </c>
      <c r="G19" s="28">
        <v>5</v>
      </c>
      <c r="H19" s="28">
        <v>8</v>
      </c>
      <c r="V19" s="34"/>
      <c r="W19" s="34">
        <v>14</v>
      </c>
      <c r="X19" s="34"/>
    </row>
    <row r="20" spans="1:24" ht="18" customHeight="1" x14ac:dyDescent="0.25">
      <c r="A20" s="232"/>
      <c r="B20" s="133"/>
      <c r="C20" s="29" t="s">
        <v>69</v>
      </c>
      <c r="D20" s="83">
        <f>IF($B$20="X",DATE($B$2-1,H20,G20),DATE(1905,1,1))</f>
        <v>1828</v>
      </c>
      <c r="E20" s="88">
        <f>IF($B$20="X",DATE($B$2,H20,G20),DATE(1905,1,1))</f>
        <v>1828</v>
      </c>
      <c r="F20" s="88">
        <f>IF($B$20="X",DATE($B$2+1,H20,G20),DATE(1905,1,1))</f>
        <v>1828</v>
      </c>
      <c r="G20" s="30">
        <v>10</v>
      </c>
      <c r="H20" s="30">
        <v>5</v>
      </c>
      <c r="V20" s="34"/>
      <c r="W20" s="34">
        <v>15</v>
      </c>
      <c r="X20" s="34"/>
    </row>
    <row r="21" spans="1:24" x14ac:dyDescent="0.2">
      <c r="A21" s="8"/>
      <c r="B21" s="8"/>
      <c r="V21" s="34"/>
      <c r="W21" s="34">
        <v>16</v>
      </c>
      <c r="X21" s="34"/>
    </row>
    <row r="22" spans="1:24" x14ac:dyDescent="0.2">
      <c r="A22" s="6"/>
      <c r="B22" s="6"/>
      <c r="V22" s="34"/>
      <c r="W22" s="34">
        <v>17</v>
      </c>
      <c r="X22" s="34"/>
    </row>
    <row r="23" spans="1:24" x14ac:dyDescent="0.2">
      <c r="A23" s="6"/>
      <c r="B23" s="6"/>
      <c r="V23" s="34"/>
      <c r="W23" s="34">
        <v>18</v>
      </c>
      <c r="X23" s="34"/>
    </row>
    <row r="24" spans="1:24" x14ac:dyDescent="0.2">
      <c r="A24" s="6"/>
      <c r="B24" s="6"/>
      <c r="V24" s="34"/>
      <c r="W24" s="34">
        <v>19</v>
      </c>
      <c r="X24" s="34"/>
    </row>
    <row r="25" spans="1:24" x14ac:dyDescent="0.2">
      <c r="V25" s="34"/>
      <c r="W25" s="34">
        <v>20</v>
      </c>
      <c r="X25" s="34"/>
    </row>
    <row r="26" spans="1:24" x14ac:dyDescent="0.2">
      <c r="V26" s="34"/>
      <c r="W26" s="34">
        <v>21</v>
      </c>
      <c r="X26" s="34"/>
    </row>
    <row r="27" spans="1:24" x14ac:dyDescent="0.2">
      <c r="V27" s="34"/>
      <c r="W27" s="34">
        <v>22</v>
      </c>
      <c r="X27" s="34"/>
    </row>
    <row r="28" spans="1:24" x14ac:dyDescent="0.2">
      <c r="V28" s="34"/>
      <c r="W28" s="34">
        <v>23</v>
      </c>
      <c r="X28" s="34"/>
    </row>
    <row r="29" spans="1:24" x14ac:dyDescent="0.2">
      <c r="V29" s="34"/>
      <c r="W29" s="34">
        <v>24</v>
      </c>
      <c r="X29" s="34"/>
    </row>
    <row r="30" spans="1:24" x14ac:dyDescent="0.2">
      <c r="V30" s="34"/>
      <c r="W30" s="34">
        <v>25</v>
      </c>
      <c r="X30" s="34"/>
    </row>
    <row r="31" spans="1:24" x14ac:dyDescent="0.2">
      <c r="V31" s="34"/>
      <c r="W31" s="34">
        <v>26</v>
      </c>
      <c r="X31" s="34"/>
    </row>
    <row r="32" spans="1:24" x14ac:dyDescent="0.2">
      <c r="V32" s="34"/>
      <c r="W32" s="34">
        <v>27</v>
      </c>
      <c r="X32" s="34"/>
    </row>
    <row r="33" spans="22:24" x14ac:dyDescent="0.2">
      <c r="V33" s="34"/>
      <c r="W33" s="34">
        <v>28</v>
      </c>
      <c r="X33" s="34"/>
    </row>
    <row r="34" spans="22:24" x14ac:dyDescent="0.2">
      <c r="V34" s="34"/>
      <c r="W34" s="34">
        <v>29</v>
      </c>
      <c r="X34" s="34"/>
    </row>
    <row r="35" spans="22:24" x14ac:dyDescent="0.2">
      <c r="V35" s="34"/>
      <c r="W35" s="34">
        <v>30</v>
      </c>
      <c r="X35" s="34"/>
    </row>
    <row r="36" spans="22:24" x14ac:dyDescent="0.2">
      <c r="V36" s="34"/>
      <c r="W36" s="34">
        <v>31</v>
      </c>
      <c r="X36" s="34"/>
    </row>
  </sheetData>
  <mergeCells count="6">
    <mergeCell ref="A5:A13"/>
    <mergeCell ref="A14:A16"/>
    <mergeCell ref="A17:A20"/>
    <mergeCell ref="A1:B1"/>
    <mergeCell ref="D1:E1"/>
    <mergeCell ref="A4:F4"/>
  </mergeCells>
  <phoneticPr fontId="4" type="noConversion"/>
  <conditionalFormatting sqref="D5:D20">
    <cfRule type="cellIs" dxfId="3" priority="4" operator="equal">
      <formula>$X$5</formula>
    </cfRule>
  </conditionalFormatting>
  <conditionalFormatting sqref="E5:F13">
    <cfRule type="cellIs" dxfId="2" priority="3" operator="equal">
      <formula>$X$5</formula>
    </cfRule>
  </conditionalFormatting>
  <conditionalFormatting sqref="E14:F16">
    <cfRule type="cellIs" dxfId="1" priority="2" operator="equal">
      <formula>$X$5</formula>
    </cfRule>
  </conditionalFormatting>
  <conditionalFormatting sqref="E17:F20">
    <cfRule type="cellIs" dxfId="0" priority="1" operator="equal">
      <formula>$X$5</formula>
    </cfRule>
  </conditionalFormatting>
  <dataValidations count="2">
    <dataValidation type="list" allowBlank="1" showInputMessage="1" showErrorMessage="1" sqref="G17:G20" xr:uid="{00000000-0002-0000-0600-000000000000}">
      <formula1>$W$5:$W$36</formula1>
    </dataValidation>
    <dataValidation type="list" allowBlank="1" showInputMessage="1" showErrorMessage="1" sqref="H17:H20" xr:uid="{00000000-0002-0000-0600-000001000000}">
      <formula1>$V$5:$V$17</formula1>
    </dataValidation>
  </dataValidations>
  <pageMargins left="0.75" right="0.75" top="1" bottom="1" header="0.49212598499999999" footer="0.49212598499999999"/>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21</vt:i4>
      </vt:variant>
    </vt:vector>
  </HeadingPairs>
  <TitlesOfParts>
    <vt:vector size="28" baseType="lpstr">
      <vt:lpstr>Outubro</vt:lpstr>
      <vt:lpstr>Novembro</vt:lpstr>
      <vt:lpstr>Dezembro</vt:lpstr>
      <vt:lpstr>Janeiro</vt:lpstr>
      <vt:lpstr>Fevereiro</vt:lpstr>
      <vt:lpstr>Março</vt:lpstr>
      <vt:lpstr>Feriados</vt:lpstr>
      <vt:lpstr>ano_p</vt:lpstr>
      <vt:lpstr>dia_f</vt:lpstr>
      <vt:lpstr>fer</vt:lpstr>
      <vt:lpstr>fim</vt:lpstr>
      <vt:lpstr>FIMNOT</vt:lpstr>
      <vt:lpstr>inicio</vt:lpstr>
      <vt:lpstr>ININOT</vt:lpstr>
      <vt:lpstr>Dezembro!jornada</vt:lpstr>
      <vt:lpstr>Fevereiro!jornada</vt:lpstr>
      <vt:lpstr>Janeiro!jornada</vt:lpstr>
      <vt:lpstr>Março!jornada</vt:lpstr>
      <vt:lpstr>Novembro!jornada</vt:lpstr>
      <vt:lpstr>jornada</vt:lpstr>
      <vt:lpstr>mês_p</vt:lpstr>
      <vt:lpstr>páscoa</vt:lpstr>
      <vt:lpstr>Dezembro!quadro_horário</vt:lpstr>
      <vt:lpstr>Fevereiro!quadro_horário</vt:lpstr>
      <vt:lpstr>Janeiro!quadro_horário</vt:lpstr>
      <vt:lpstr>Março!quadro_horário</vt:lpstr>
      <vt:lpstr>Novembro!quadro_horário</vt:lpstr>
      <vt:lpstr>quadro_horário</vt:lpstr>
    </vt:vector>
  </TitlesOfParts>
  <Manager/>
  <Company>MTE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gilberto.braga</dc:creator>
  <cp:keywords/>
  <dc:description/>
  <cp:lastModifiedBy>Gilberto Braga</cp:lastModifiedBy>
  <cp:revision/>
  <dcterms:created xsi:type="dcterms:W3CDTF">2015-05-11T16:16:43Z</dcterms:created>
  <dcterms:modified xsi:type="dcterms:W3CDTF">2023-12-29T11:15:43Z</dcterms:modified>
  <cp:category/>
  <cp:contentStatus/>
</cp:coreProperties>
</file>