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trlProps/ctrlProp1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drawings/drawing4.xml" ContentType="application/vnd.openxmlformats-officedocument.drawing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BD918134C21C4FD/Documentos/Blog Caltrab/Restabelecendo as planilhas/Atualizações 2026/"/>
    </mc:Choice>
  </mc:AlternateContent>
  <xr:revisionPtr revIDLastSave="0" documentId="14_{5639AF6C-A493-43AD-A89B-D218A971B6F9}" xr6:coauthVersionLast="47" xr6:coauthVersionMax="47" xr10:uidLastSave="{00000000-0000-0000-0000-000000000000}"/>
  <bookViews>
    <workbookView xWindow="28680" yWindow="-120" windowWidth="29040" windowHeight="15720" xr2:uid="{D934AE6E-726A-4B1C-A449-73D4EB6804CD}"/>
  </bookViews>
  <sheets>
    <sheet name="Dados" sheetId="4" r:id="rId1"/>
    <sheet name="Cálculo da Insalubridade" sheetId="3" r:id="rId2"/>
    <sheet name="Salário Mínimo" sheetId="1" r:id="rId3"/>
    <sheet name="Correção Monetária" sheetId="5" r:id="rId4"/>
  </sheets>
  <definedNames>
    <definedName name="ad_insalubre">Dados!$C$16</definedName>
    <definedName name="admissão">Dados!$C$9</definedName>
    <definedName name="ajuiza">Dados!$C$11</definedName>
    <definedName name="_xlnm.Print_Area" localSheetId="1">'Cálculo da Insalubridade'!$A$1:$N$81</definedName>
    <definedName name="atualiza">'Correção Monetária'!$D$1</definedName>
    <definedName name="contratualidade">Dados!$BP$5:$BP$88</definedName>
    <definedName name="dispensa">Dados!$C$10</definedName>
    <definedName name="exigível">Dados!$C$13</definedName>
    <definedName name="férias_ano1">Dados!$BQ$5</definedName>
    <definedName name="férias_ano2">Dados!$BQ$17</definedName>
    <definedName name="férias_ano3">Dados!$BQ$29</definedName>
    <definedName name="férias_ano4">Dados!$BQ$41</definedName>
    <definedName name="férias_ano5">Dados!$BQ$53</definedName>
    <definedName name="férias_ano6">Dados!$BQ$65</definedName>
    <definedName name="férias_ano7">Dados!$BQ$77</definedName>
    <definedName name="FGTS_perc">Dados!$C$18</definedName>
    <definedName name="fim">Dados!$AZ$23</definedName>
    <definedName name="índice_cm">Dados!$BU$14</definedName>
    <definedName name="índice_tst">'Correção Monetária'!$D$3:$D$357</definedName>
    <definedName name="início">Dados!$AZ$21</definedName>
    <definedName name="iniférias">Dados!$BK$12</definedName>
    <definedName name="insalubre_pg">Dados!$C$17</definedName>
    <definedName name="mensal">'Correção Monetária'!$C:$H</definedName>
    <definedName name="mm">'Correção Monetária'!$C$3:$C$357</definedName>
    <definedName name="ms">'Correção Monetária'!$B$3:$B$357</definedName>
    <definedName name="nomeVT">Dados!$C$7</definedName>
    <definedName name="pas">Dados!$BQ$5:$BQ$88</definedName>
    <definedName name="prescrição">Dados!$C$12</definedName>
    <definedName name="processo">Dados!$C$4</definedName>
    <definedName name="reclamada">Dados!$C$6</definedName>
    <definedName name="reclamante">Dados!$C$5</definedName>
    <definedName name="salário_base">Dados!$C$15</definedName>
    <definedName name="tabela_minimo">tbl_SalarioMinimo[[MÊS/ANO]:[SAL. MÍNIMO]]</definedName>
    <definedName name="_xlnm.Print_Titles" localSheetId="1">'Cálculo da Insalubridade'!$1:$5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0" i="3" l="1"/>
  <c r="B19" i="3"/>
  <c r="B18" i="3"/>
  <c r="B17" i="3"/>
  <c r="B11" i="3"/>
  <c r="B10" i="3"/>
  <c r="B9" i="3"/>
  <c r="B6" i="3"/>
  <c r="B5" i="3"/>
  <c r="B4" i="3"/>
  <c r="B3" i="3"/>
  <c r="D382" i="5"/>
  <c r="D383" i="5"/>
  <c r="D384" i="5"/>
  <c r="D385" i="5"/>
  <c r="D386" i="5"/>
  <c r="D358" i="5"/>
  <c r="D359" i="5"/>
  <c r="D360" i="5"/>
  <c r="D361" i="5"/>
  <c r="D362" i="5"/>
  <c r="D363" i="5"/>
  <c r="D364" i="5"/>
  <c r="D365" i="5"/>
  <c r="D366" i="5"/>
  <c r="D367" i="5"/>
  <c r="D368" i="5"/>
  <c r="D369" i="5"/>
  <c r="D370" i="5"/>
  <c r="D371" i="5"/>
  <c r="D372" i="5"/>
  <c r="D373" i="5"/>
  <c r="D374" i="5"/>
  <c r="D375" i="5"/>
  <c r="D376" i="5"/>
  <c r="D377" i="5"/>
  <c r="D378" i="5"/>
  <c r="D379" i="5"/>
  <c r="D380" i="5"/>
  <c r="D381" i="5"/>
  <c r="I41" i="1" l="1"/>
  <c r="J41" i="1"/>
  <c r="K41" i="1"/>
  <c r="I40" i="1"/>
  <c r="J40" i="1"/>
  <c r="K40" i="1"/>
  <c r="D357" i="5"/>
  <c r="D352" i="5"/>
  <c r="D353" i="5"/>
  <c r="D354" i="5"/>
  <c r="D355" i="5"/>
  <c r="D356" i="5"/>
  <c r="I39" i="1" l="1"/>
  <c r="J39" i="1"/>
  <c r="K39" i="1"/>
  <c r="H38" i="1" l="1"/>
  <c r="I38" i="1" s="1"/>
  <c r="H37" i="1"/>
  <c r="I37" i="1" s="1"/>
  <c r="H36" i="1"/>
  <c r="I36" i="1" s="1"/>
  <c r="J38" i="1" l="1"/>
  <c r="K38" i="1"/>
  <c r="K37" i="1"/>
  <c r="J37" i="1"/>
  <c r="J36" i="1"/>
  <c r="K36" i="1"/>
  <c r="C13" i="4" l="1"/>
  <c r="D6" i="3" l="1"/>
  <c r="G6" i="3" s="1"/>
  <c r="B13" i="3"/>
  <c r="C12" i="4"/>
  <c r="D1" i="5"/>
  <c r="K5" i="4"/>
  <c r="AZ23" i="4"/>
  <c r="K9" i="4"/>
  <c r="K8" i="4"/>
  <c r="AI21" i="4"/>
  <c r="AI22" i="4" s="1"/>
  <c r="AI23" i="4" s="1"/>
  <c r="AI24" i="4" s="1"/>
  <c r="AI25" i="4" s="1"/>
  <c r="AI26" i="4" s="1"/>
  <c r="AI27" i="4" s="1"/>
  <c r="AI28" i="4" s="1"/>
  <c r="AI29" i="4" s="1"/>
  <c r="AI30" i="4" s="1"/>
  <c r="AI31" i="4" s="1"/>
  <c r="AI32" i="4" s="1"/>
  <c r="AI33" i="4" s="1"/>
  <c r="AI34" i="4" s="1"/>
  <c r="AI35" i="4" s="1"/>
  <c r="AI36" i="4" s="1"/>
  <c r="AI37" i="4" s="1"/>
  <c r="AI38" i="4" s="1"/>
  <c r="AI39" i="4" s="1"/>
  <c r="AI40" i="4" s="1"/>
  <c r="AI41" i="4" s="1"/>
  <c r="AI42" i="4" s="1"/>
  <c r="AI43" i="4" s="1"/>
  <c r="AI44" i="4" s="1"/>
  <c r="AI45" i="4" s="1"/>
  <c r="AI46" i="4" s="1"/>
  <c r="AI47" i="4" s="1"/>
  <c r="AI48" i="4" s="1"/>
  <c r="AI49" i="4" s="1"/>
  <c r="AI50" i="4" s="1"/>
  <c r="AI51" i="4" s="1"/>
  <c r="AI52" i="4" s="1"/>
  <c r="AI53" i="4" s="1"/>
  <c r="AI54" i="4" s="1"/>
  <c r="AI55" i="4" s="1"/>
  <c r="AI56" i="4" s="1"/>
  <c r="AI57" i="4" s="1"/>
  <c r="AI58" i="4" s="1"/>
  <c r="AI59" i="4" s="1"/>
  <c r="AI60" i="4" s="1"/>
  <c r="AI61" i="4" s="1"/>
  <c r="AI62" i="4" s="1"/>
  <c r="AI63" i="4" s="1"/>
  <c r="AI64" i="4" s="1"/>
  <c r="AI65" i="4" s="1"/>
  <c r="AI66" i="4" s="1"/>
  <c r="AI67" i="4" s="1"/>
  <c r="AI68" i="4" s="1"/>
  <c r="AI69" i="4" s="1"/>
  <c r="AI70" i="4" s="1"/>
  <c r="AI71" i="4" s="1"/>
  <c r="AI72" i="4" s="1"/>
  <c r="AI73" i="4" s="1"/>
  <c r="AI74" i="4" s="1"/>
  <c r="AI75" i="4" s="1"/>
  <c r="AI76" i="4" s="1"/>
  <c r="AI77" i="4" s="1"/>
  <c r="BX6" i="4"/>
  <c r="BO6" i="4"/>
  <c r="BO7" i="4" s="1"/>
  <c r="BO8" i="4" s="1"/>
  <c r="BO9" i="4" s="1"/>
  <c r="BO10" i="4" s="1"/>
  <c r="BO11" i="4" s="1"/>
  <c r="K6" i="4"/>
  <c r="BT5" i="4"/>
  <c r="H6" i="1"/>
  <c r="I6" i="1" s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BK11" i="4" l="1"/>
  <c r="BK12" i="4" s="1"/>
  <c r="BP5" i="4" s="1"/>
  <c r="B12" i="3"/>
  <c r="C3" i="4"/>
  <c r="B14" i="3"/>
  <c r="BO12" i="4"/>
  <c r="BO13" i="4" s="1"/>
  <c r="BO14" i="4" s="1"/>
  <c r="BO15" i="4" s="1"/>
  <c r="BO16" i="4" s="1"/>
  <c r="BO17" i="4" s="1"/>
  <c r="BO18" i="4" s="1"/>
  <c r="BO19" i="4" s="1"/>
  <c r="BO20" i="4" s="1"/>
  <c r="BO21" i="4" s="1"/>
  <c r="BO22" i="4" s="1"/>
  <c r="BO23" i="4" s="1"/>
  <c r="BO24" i="4" s="1"/>
  <c r="BO25" i="4" s="1"/>
  <c r="BO26" i="4" s="1"/>
  <c r="BO27" i="4" s="1"/>
  <c r="BO28" i="4" s="1"/>
  <c r="BO29" i="4" s="1"/>
  <c r="BO30" i="4" s="1"/>
  <c r="BO31" i="4" s="1"/>
  <c r="BO32" i="4" s="1"/>
  <c r="BO33" i="4" s="1"/>
  <c r="BO34" i="4" s="1"/>
  <c r="BO35" i="4" s="1"/>
  <c r="BO36" i="4" s="1"/>
  <c r="BO37" i="4" s="1"/>
  <c r="BO38" i="4" s="1"/>
  <c r="BO39" i="4" s="1"/>
  <c r="BO40" i="4" s="1"/>
  <c r="BO41" i="4" s="1"/>
  <c r="BO42" i="4" s="1"/>
  <c r="BO43" i="4" s="1"/>
  <c r="BO44" i="4" s="1"/>
  <c r="BO45" i="4" s="1"/>
  <c r="BO46" i="4" s="1"/>
  <c r="BO47" i="4" s="1"/>
  <c r="BO48" i="4" s="1"/>
  <c r="BO49" i="4" s="1"/>
  <c r="BO50" i="4" s="1"/>
  <c r="BO51" i="4" s="1"/>
  <c r="BO52" i="4" s="1"/>
  <c r="BO53" i="4" s="1"/>
  <c r="BO54" i="4" s="1"/>
  <c r="BO55" i="4" s="1"/>
  <c r="BO56" i="4" s="1"/>
  <c r="BO57" i="4" s="1"/>
  <c r="BO58" i="4" s="1"/>
  <c r="BO59" i="4" s="1"/>
  <c r="BO60" i="4" s="1"/>
  <c r="BO61" i="4" s="1"/>
  <c r="BO62" i="4" s="1"/>
  <c r="BO63" i="4" s="1"/>
  <c r="BO64" i="4" s="1"/>
  <c r="BO65" i="4" s="1"/>
  <c r="BO66" i="4" s="1"/>
  <c r="BO67" i="4" s="1"/>
  <c r="BO68" i="4" s="1"/>
  <c r="BO69" i="4" s="1"/>
  <c r="BO70" i="4" s="1"/>
  <c r="BO71" i="4" s="1"/>
  <c r="BO72" i="4" s="1"/>
  <c r="BO73" i="4" s="1"/>
  <c r="BO74" i="4" s="1"/>
  <c r="BO75" i="4" s="1"/>
  <c r="BO76" i="4" s="1"/>
  <c r="BO77" i="4" s="1"/>
  <c r="BO78" i="4" s="1"/>
  <c r="BO79" i="4" s="1"/>
  <c r="BO80" i="4" s="1"/>
  <c r="BO81" i="4" s="1"/>
  <c r="BO82" i="4" s="1"/>
  <c r="BO83" i="4" s="1"/>
  <c r="BO84" i="4" s="1"/>
  <c r="BO85" i="4" s="1"/>
  <c r="BO86" i="4" s="1"/>
  <c r="BO87" i="4" s="1"/>
  <c r="BO88" i="4" s="1"/>
  <c r="E6" i="3"/>
  <c r="BS5" i="4"/>
  <c r="BU6" i="4" s="1"/>
  <c r="BU10" i="4" s="1"/>
  <c r="BV10" i="4" s="1"/>
  <c r="AZ21" i="4"/>
  <c r="BQ5" i="4"/>
  <c r="BI14" i="4" s="1"/>
  <c r="BP6" i="4"/>
  <c r="D7" i="3"/>
  <c r="G7" i="3" s="1"/>
  <c r="K21" i="1"/>
  <c r="J21" i="1"/>
  <c r="I21" i="1"/>
  <c r="K25" i="1"/>
  <c r="J25" i="1"/>
  <c r="I25" i="1"/>
  <c r="K7" i="1"/>
  <c r="J7" i="1"/>
  <c r="K9" i="1"/>
  <c r="J9" i="1"/>
  <c r="K11" i="1"/>
  <c r="J11" i="1"/>
  <c r="I11" i="1"/>
  <c r="K15" i="1"/>
  <c r="J15" i="1"/>
  <c r="I15" i="1"/>
  <c r="K19" i="1"/>
  <c r="J19" i="1"/>
  <c r="I19" i="1"/>
  <c r="K23" i="1"/>
  <c r="J23" i="1"/>
  <c r="I23" i="1"/>
  <c r="K27" i="1"/>
  <c r="J27" i="1"/>
  <c r="I27" i="1"/>
  <c r="K31" i="1"/>
  <c r="J31" i="1"/>
  <c r="I31" i="1"/>
  <c r="I7" i="1"/>
  <c r="I9" i="1"/>
  <c r="K12" i="1"/>
  <c r="J12" i="1"/>
  <c r="I12" i="1"/>
  <c r="K16" i="1"/>
  <c r="J16" i="1"/>
  <c r="I16" i="1"/>
  <c r="K20" i="1"/>
  <c r="J20" i="1"/>
  <c r="I20" i="1"/>
  <c r="K24" i="1"/>
  <c r="J24" i="1"/>
  <c r="I24" i="1"/>
  <c r="K28" i="1"/>
  <c r="J28" i="1"/>
  <c r="I28" i="1"/>
  <c r="K32" i="1"/>
  <c r="J32" i="1"/>
  <c r="I32" i="1"/>
  <c r="K33" i="1"/>
  <c r="J33" i="1"/>
  <c r="I33" i="1"/>
  <c r="K8" i="1"/>
  <c r="J8" i="1"/>
  <c r="K10" i="1"/>
  <c r="J10" i="1"/>
  <c r="K13" i="1"/>
  <c r="J13" i="1"/>
  <c r="I13" i="1"/>
  <c r="K17" i="1"/>
  <c r="J17" i="1"/>
  <c r="I17" i="1"/>
  <c r="K29" i="1"/>
  <c r="J29" i="1"/>
  <c r="I29" i="1"/>
  <c r="I8" i="1"/>
  <c r="I10" i="1"/>
  <c r="K14" i="1"/>
  <c r="J14" i="1"/>
  <c r="I14" i="1"/>
  <c r="K18" i="1"/>
  <c r="J18" i="1"/>
  <c r="I18" i="1"/>
  <c r="K22" i="1"/>
  <c r="J22" i="1"/>
  <c r="I22" i="1"/>
  <c r="K26" i="1"/>
  <c r="J26" i="1"/>
  <c r="I26" i="1"/>
  <c r="K30" i="1"/>
  <c r="J30" i="1"/>
  <c r="I30" i="1"/>
  <c r="K34" i="1"/>
  <c r="J34" i="1"/>
  <c r="I34" i="1"/>
  <c r="K6" i="1"/>
  <c r="J6" i="1"/>
  <c r="K35" i="1"/>
  <c r="J35" i="1"/>
  <c r="I35" i="1"/>
  <c r="J6" i="3" l="1"/>
  <c r="F6" i="3"/>
  <c r="E7" i="3"/>
  <c r="BV6" i="4"/>
  <c r="BU11" i="4"/>
  <c r="BT12" i="4" s="1"/>
  <c r="BU7" i="4"/>
  <c r="BV7" i="4" s="1"/>
  <c r="BU8" i="4"/>
  <c r="BV8" i="4" s="1"/>
  <c r="BU9" i="4"/>
  <c r="BV9" i="4" s="1"/>
  <c r="D8" i="3"/>
  <c r="G8" i="3" s="1"/>
  <c r="BQ6" i="4"/>
  <c r="BP7" i="4"/>
  <c r="J7" i="3" l="1"/>
  <c r="F7" i="3"/>
  <c r="H7" i="3" s="1"/>
  <c r="H6" i="3"/>
  <c r="E8" i="3"/>
  <c r="BV11" i="4"/>
  <c r="D9" i="3"/>
  <c r="G9" i="3" s="1"/>
  <c r="BP8" i="4"/>
  <c r="BQ7" i="4"/>
  <c r="J8" i="3" l="1"/>
  <c r="F8" i="3"/>
  <c r="H8" i="3" s="1"/>
  <c r="I7" i="3"/>
  <c r="K7" i="3" s="1"/>
  <c r="E9" i="3"/>
  <c r="D10" i="3"/>
  <c r="G10" i="3" s="1"/>
  <c r="BP9" i="4"/>
  <c r="BQ8" i="4"/>
  <c r="I8" i="3"/>
  <c r="J9" i="3" l="1"/>
  <c r="F9" i="3"/>
  <c r="K8" i="3"/>
  <c r="E10" i="3"/>
  <c r="D11" i="3"/>
  <c r="G11" i="3" s="1"/>
  <c r="BQ9" i="4"/>
  <c r="BP10" i="4"/>
  <c r="J10" i="3" l="1"/>
  <c r="F10" i="3"/>
  <c r="H10" i="3" s="1"/>
  <c r="H9" i="3"/>
  <c r="E11" i="3"/>
  <c r="D12" i="3"/>
  <c r="G12" i="3" s="1"/>
  <c r="BQ10" i="4"/>
  <c r="BP11" i="4"/>
  <c r="J11" i="3" l="1"/>
  <c r="F11" i="3"/>
  <c r="I10" i="3"/>
  <c r="K10" i="3" s="1"/>
  <c r="I9" i="3"/>
  <c r="K9" i="3" s="1"/>
  <c r="E12" i="3"/>
  <c r="D13" i="3"/>
  <c r="BQ11" i="4"/>
  <c r="BP12" i="4"/>
  <c r="BP13" i="4" s="1"/>
  <c r="F12" i="3" l="1"/>
  <c r="H12" i="3" s="1"/>
  <c r="J12" i="3"/>
  <c r="H11" i="3"/>
  <c r="I11" i="3" s="1"/>
  <c r="K11" i="3" s="1"/>
  <c r="BP14" i="4"/>
  <c r="BP15" i="4" s="1"/>
  <c r="E13" i="3"/>
  <c r="D14" i="3"/>
  <c r="G14" i="3" s="1"/>
  <c r="BQ12" i="4"/>
  <c r="BQ13" i="4" s="1"/>
  <c r="I12" i="3" l="1"/>
  <c r="J13" i="3"/>
  <c r="F13" i="3"/>
  <c r="BQ14" i="4"/>
  <c r="BQ15" i="4" s="1"/>
  <c r="K12" i="3"/>
  <c r="BP16" i="4"/>
  <c r="E14" i="3"/>
  <c r="D15" i="3"/>
  <c r="G15" i="3" s="1"/>
  <c r="H13" i="3" l="1"/>
  <c r="G13" i="3"/>
  <c r="I13" i="3" s="1"/>
  <c r="K13" i="3" s="1"/>
  <c r="J14" i="3"/>
  <c r="F14" i="3"/>
  <c r="H14" i="3" s="1"/>
  <c r="BP17" i="4"/>
  <c r="BQ17" i="4" s="1"/>
  <c r="BI15" i="4" s="1"/>
  <c r="BQ16" i="4"/>
  <c r="E15" i="3"/>
  <c r="D16" i="3"/>
  <c r="G16" i="3" s="1"/>
  <c r="I14" i="3"/>
  <c r="J15" i="3" l="1"/>
  <c r="F15" i="3"/>
  <c r="H15" i="3" s="1"/>
  <c r="K14" i="3"/>
  <c r="BP18" i="4"/>
  <c r="E16" i="3"/>
  <c r="D17" i="3"/>
  <c r="G17" i="3" s="1"/>
  <c r="I15" i="3"/>
  <c r="J16" i="3" l="1"/>
  <c r="F16" i="3"/>
  <c r="H16" i="3" s="1"/>
  <c r="K15" i="3"/>
  <c r="BQ18" i="4"/>
  <c r="BP19" i="4"/>
  <c r="E17" i="3"/>
  <c r="D18" i="3"/>
  <c r="G18" i="3" s="1"/>
  <c r="I16" i="3"/>
  <c r="AY11" i="4" a="1"/>
  <c r="J17" i="3" l="1"/>
  <c r="F17" i="3"/>
  <c r="H17" i="3" s="1"/>
  <c r="K16" i="3"/>
  <c r="BQ19" i="4"/>
  <c r="BP20" i="4"/>
  <c r="E18" i="3"/>
  <c r="D19" i="3"/>
  <c r="G19" i="3" s="1"/>
  <c r="AY11" i="4"/>
  <c r="J18" i="3" l="1"/>
  <c r="F18" i="3"/>
  <c r="H18" i="3" s="1"/>
  <c r="I17" i="3"/>
  <c r="K17" i="3" s="1"/>
  <c r="I18" i="3"/>
  <c r="BQ20" i="4"/>
  <c r="BP21" i="4"/>
  <c r="BQ21" i="4" s="1"/>
  <c r="E19" i="3"/>
  <c r="D20" i="3"/>
  <c r="G20" i="3" s="1"/>
  <c r="AY12" i="4" a="1"/>
  <c r="J19" i="3" l="1"/>
  <c r="F19" i="3"/>
  <c r="H19" i="3" s="1"/>
  <c r="K18" i="3"/>
  <c r="BP22" i="4"/>
  <c r="BQ22" i="4" s="1"/>
  <c r="E20" i="3"/>
  <c r="D21" i="3"/>
  <c r="G21" i="3" s="1"/>
  <c r="AY12" i="4"/>
  <c r="I19" i="3"/>
  <c r="F20" i="3" l="1"/>
  <c r="H20" i="3" s="1"/>
  <c r="J20" i="3"/>
  <c r="K19" i="3"/>
  <c r="BP23" i="4"/>
  <c r="BP24" i="4" s="1"/>
  <c r="E21" i="3"/>
  <c r="D22" i="3"/>
  <c r="G22" i="3" s="1"/>
  <c r="I20" i="3"/>
  <c r="AY14" i="4" a="1"/>
  <c r="F21" i="3" l="1"/>
  <c r="H21" i="3" s="1"/>
  <c r="J21" i="3"/>
  <c r="K20" i="3"/>
  <c r="BQ23" i="4"/>
  <c r="BQ24" i="4" s="1"/>
  <c r="E22" i="3"/>
  <c r="BP25" i="4"/>
  <c r="D23" i="3"/>
  <c r="G23" i="3" s="1"/>
  <c r="AY14" i="4"/>
  <c r="I21" i="3"/>
  <c r="J22" i="3" l="1"/>
  <c r="F22" i="3"/>
  <c r="H22" i="3" s="1"/>
  <c r="K21" i="3"/>
  <c r="E23" i="3"/>
  <c r="BP26" i="4"/>
  <c r="BQ25" i="4"/>
  <c r="D24" i="3"/>
  <c r="G24" i="3" s="1"/>
  <c r="AY15" i="4" a="1"/>
  <c r="I22" i="3" l="1"/>
  <c r="J23" i="3"/>
  <c r="F23" i="3"/>
  <c r="H23" i="3" s="1"/>
  <c r="K22" i="3"/>
  <c r="E24" i="3"/>
  <c r="BQ26" i="4"/>
  <c r="BP27" i="4"/>
  <c r="D25" i="3"/>
  <c r="AY15" i="4"/>
  <c r="I23" i="3" l="1"/>
  <c r="J24" i="3"/>
  <c r="F24" i="3"/>
  <c r="H24" i="3" s="1"/>
  <c r="K23" i="3"/>
  <c r="E25" i="3"/>
  <c r="BP28" i="4"/>
  <c r="BQ27" i="4"/>
  <c r="D26" i="3"/>
  <c r="G26" i="3" s="1"/>
  <c r="AY16" i="4" a="1"/>
  <c r="I24" i="3" l="1"/>
  <c r="J25" i="3"/>
  <c r="F25" i="3"/>
  <c r="K24" i="3"/>
  <c r="E26" i="3"/>
  <c r="BQ28" i="4"/>
  <c r="BP29" i="4"/>
  <c r="D27" i="3"/>
  <c r="G27" i="3" s="1"/>
  <c r="AY16" i="4"/>
  <c r="J26" i="3" l="1"/>
  <c r="F26" i="3"/>
  <c r="H26" i="3" s="1"/>
  <c r="H25" i="3"/>
  <c r="G25" i="3"/>
  <c r="E27" i="3"/>
  <c r="BP30" i="4"/>
  <c r="BQ29" i="4"/>
  <c r="BI16" i="4" s="1"/>
  <c r="D28" i="3"/>
  <c r="G28" i="3" s="1"/>
  <c r="AY17" i="4" a="1"/>
  <c r="I26" i="3" l="1"/>
  <c r="I25" i="3"/>
  <c r="K25" i="3" s="1"/>
  <c r="J27" i="3"/>
  <c r="F27" i="3"/>
  <c r="H27" i="3" s="1"/>
  <c r="K26" i="3"/>
  <c r="E28" i="3"/>
  <c r="BP31" i="4"/>
  <c r="BQ30" i="4"/>
  <c r="D29" i="3"/>
  <c r="G29" i="3" s="1"/>
  <c r="AY17" i="4"/>
  <c r="I27" i="3" l="1"/>
  <c r="K27" i="3" s="1"/>
  <c r="F28" i="3"/>
  <c r="H28" i="3" s="1"/>
  <c r="J28" i="3"/>
  <c r="E29" i="3"/>
  <c r="BQ31" i="4"/>
  <c r="BP32" i="4"/>
  <c r="D30" i="3"/>
  <c r="G30" i="3" s="1"/>
  <c r="AY19" i="4" a="1"/>
  <c r="I28" i="3" l="1"/>
  <c r="J29" i="3"/>
  <c r="F29" i="3"/>
  <c r="H29" i="3" s="1"/>
  <c r="K28" i="3"/>
  <c r="E30" i="3"/>
  <c r="BQ32" i="4"/>
  <c r="BP33" i="4"/>
  <c r="AY19" i="4"/>
  <c r="D31" i="3"/>
  <c r="G31" i="3" s="1"/>
  <c r="J30" i="3" l="1"/>
  <c r="F30" i="3"/>
  <c r="H30" i="3" s="1"/>
  <c r="I29" i="3"/>
  <c r="K29" i="3" s="1"/>
  <c r="E31" i="3"/>
  <c r="BQ33" i="4"/>
  <c r="BP34" i="4"/>
  <c r="D32" i="3"/>
  <c r="G32" i="3" s="1"/>
  <c r="AY20" i="4" a="1"/>
  <c r="I30" i="3" l="1"/>
  <c r="J31" i="3"/>
  <c r="F31" i="3"/>
  <c r="H31" i="3" s="1"/>
  <c r="K30" i="3"/>
  <c r="E32" i="3"/>
  <c r="BP35" i="4"/>
  <c r="BQ34" i="4"/>
  <c r="AY20" i="4"/>
  <c r="AK21" i="4"/>
  <c r="D33" i="3"/>
  <c r="G33" i="3" s="1"/>
  <c r="I31" i="3" l="1"/>
  <c r="J32" i="3"/>
  <c r="F32" i="3"/>
  <c r="H32" i="3" s="1"/>
  <c r="K31" i="3"/>
  <c r="E33" i="3"/>
  <c r="BQ35" i="4"/>
  <c r="BP36" i="4"/>
  <c r="AL21" i="4"/>
  <c r="AV21" i="4" s="1"/>
  <c r="AJ21" i="4"/>
  <c r="AW21" i="4" s="1" a="1"/>
  <c r="D34" i="3"/>
  <c r="G34" i="3" s="1"/>
  <c r="I32" i="3"/>
  <c r="AN21" i="4"/>
  <c r="AQ21" i="4"/>
  <c r="AO21" i="4"/>
  <c r="AS21" i="4"/>
  <c r="AR21" i="4"/>
  <c r="AM21" i="4"/>
  <c r="AP21" i="4"/>
  <c r="J33" i="3" l="1"/>
  <c r="F33" i="3"/>
  <c r="H33" i="3" s="1"/>
  <c r="AY21" i="4" a="1"/>
  <c r="AY21" i="4" s="1"/>
  <c r="K32" i="3"/>
  <c r="E34" i="3"/>
  <c r="BP37" i="4"/>
  <c r="BQ36" i="4"/>
  <c r="AW21" i="4"/>
  <c r="AU21" i="4" s="1"/>
  <c r="AX21" i="4" s="1"/>
  <c r="AT21" i="4"/>
  <c r="AK22" i="4"/>
  <c r="D35" i="3"/>
  <c r="G35" i="3" s="1"/>
  <c r="I33" i="3"/>
  <c r="J34" i="3" l="1"/>
  <c r="F34" i="3"/>
  <c r="H34" i="3" s="1"/>
  <c r="K33" i="3"/>
  <c r="E35" i="3"/>
  <c r="BQ37" i="4"/>
  <c r="BP38" i="4"/>
  <c r="AJ22" i="4"/>
  <c r="AW22" i="4" s="1" a="1"/>
  <c r="AL22" i="4"/>
  <c r="AV22" i="4" s="1"/>
  <c r="D36" i="3"/>
  <c r="G36" i="3" s="1"/>
  <c r="AM22" i="4"/>
  <c r="AN22" i="4"/>
  <c r="AP22" i="4"/>
  <c r="AR22" i="4"/>
  <c r="AQ22" i="4"/>
  <c r="AO22" i="4"/>
  <c r="AS22" i="4"/>
  <c r="I34" i="3" l="1"/>
  <c r="J35" i="3"/>
  <c r="F35" i="3"/>
  <c r="H35" i="3" s="1"/>
  <c r="AY22" i="4" a="1"/>
  <c r="AY22" i="4" s="1"/>
  <c r="K34" i="3"/>
  <c r="E36" i="3"/>
  <c r="BP39" i="4"/>
  <c r="BQ38" i="4"/>
  <c r="AT22" i="4"/>
  <c r="AW22" i="4"/>
  <c r="AU22" i="4" s="1"/>
  <c r="AX22" i="4" s="1"/>
  <c r="AK23" i="4"/>
  <c r="D37" i="3"/>
  <c r="I35" i="3" l="1"/>
  <c r="F36" i="3"/>
  <c r="H36" i="3" s="1"/>
  <c r="J36" i="3"/>
  <c r="K35" i="3"/>
  <c r="E37" i="3"/>
  <c r="BP40" i="4"/>
  <c r="BQ39" i="4"/>
  <c r="AJ23" i="4"/>
  <c r="AY23" i="4" s="1" a="1"/>
  <c r="AL23" i="4"/>
  <c r="AV23" i="4" s="1"/>
  <c r="D38" i="3"/>
  <c r="G38" i="3" s="1"/>
  <c r="AQ23" i="4"/>
  <c r="AP23" i="4"/>
  <c r="AO23" i="4"/>
  <c r="AS23" i="4"/>
  <c r="AN23" i="4"/>
  <c r="AM23" i="4"/>
  <c r="AR23" i="4"/>
  <c r="I36" i="3" l="1"/>
  <c r="F37" i="3"/>
  <c r="J37" i="3"/>
  <c r="K36" i="3"/>
  <c r="AW23" i="4" a="1"/>
  <c r="AW23" i="4" s="1"/>
  <c r="AU23" i="4" s="1"/>
  <c r="AX23" i="4" s="1"/>
  <c r="E38" i="3"/>
  <c r="BP41" i="4"/>
  <c r="BQ40" i="4"/>
  <c r="AT23" i="4"/>
  <c r="AY23" i="4"/>
  <c r="AK24" i="4"/>
  <c r="D39" i="3"/>
  <c r="G39" i="3" s="1"/>
  <c r="J38" i="3" l="1"/>
  <c r="F38" i="3"/>
  <c r="H38" i="3" s="1"/>
  <c r="H37" i="3"/>
  <c r="G37" i="3"/>
  <c r="I37" i="3" s="1"/>
  <c r="K37" i="3" s="1"/>
  <c r="E39" i="3"/>
  <c r="BQ41" i="4"/>
  <c r="BI17" i="4" s="1"/>
  <c r="BP42" i="4"/>
  <c r="AL24" i="4"/>
  <c r="AV24" i="4" s="1"/>
  <c r="AJ24" i="4"/>
  <c r="AY24" i="4" s="1" a="1"/>
  <c r="D40" i="3"/>
  <c r="G40" i="3" s="1"/>
  <c r="AR24" i="4"/>
  <c r="AP24" i="4"/>
  <c r="AQ24" i="4"/>
  <c r="AM24" i="4"/>
  <c r="AN24" i="4"/>
  <c r="AO24" i="4"/>
  <c r="AS24" i="4"/>
  <c r="AW24" i="4" a="1"/>
  <c r="J39" i="3" l="1"/>
  <c r="F39" i="3"/>
  <c r="H39" i="3" s="1"/>
  <c r="I38" i="3"/>
  <c r="K38" i="3"/>
  <c r="E40" i="3"/>
  <c r="BP43" i="4"/>
  <c r="BQ42" i="4"/>
  <c r="AY24" i="4"/>
  <c r="AW24" i="4"/>
  <c r="AU24" i="4" s="1"/>
  <c r="AX24" i="4" s="1"/>
  <c r="AT24" i="4"/>
  <c r="AK25" i="4"/>
  <c r="D41" i="3"/>
  <c r="G41" i="3" s="1"/>
  <c r="I39" i="3" l="1"/>
  <c r="J40" i="3"/>
  <c r="F40" i="3"/>
  <c r="H40" i="3" s="1"/>
  <c r="K39" i="3"/>
  <c r="E41" i="3"/>
  <c r="BQ43" i="4"/>
  <c r="BP44" i="4"/>
  <c r="AJ25" i="4"/>
  <c r="AW25" i="4" s="1" a="1"/>
  <c r="AL25" i="4"/>
  <c r="AV25" i="4" s="1"/>
  <c r="D42" i="3"/>
  <c r="G42" i="3" s="1"/>
  <c r="I40" i="3"/>
  <c r="AM25" i="4"/>
  <c r="AP25" i="4"/>
  <c r="AN25" i="4"/>
  <c r="AR25" i="4"/>
  <c r="AQ25" i="4"/>
  <c r="AS25" i="4"/>
  <c r="AO25" i="4"/>
  <c r="J41" i="3" l="1"/>
  <c r="F41" i="3"/>
  <c r="H41" i="3" s="1"/>
  <c r="K40" i="3"/>
  <c r="AY25" i="4" a="1"/>
  <c r="AY25" i="4" s="1"/>
  <c r="E42" i="3"/>
  <c r="BQ44" i="4"/>
  <c r="BP45" i="4"/>
  <c r="AT25" i="4"/>
  <c r="AW25" i="4"/>
  <c r="AU25" i="4" s="1"/>
  <c r="AX25" i="4" s="1"/>
  <c r="AK26" i="4"/>
  <c r="D43" i="3"/>
  <c r="G43" i="3" s="1"/>
  <c r="I41" i="3"/>
  <c r="J42" i="3" l="1"/>
  <c r="F42" i="3"/>
  <c r="H42" i="3" s="1"/>
  <c r="K41" i="3"/>
  <c r="I42" i="3"/>
  <c r="E43" i="3"/>
  <c r="BQ45" i="4"/>
  <c r="AL26" i="4"/>
  <c r="AV26" i="4" s="1"/>
  <c r="AJ26" i="4"/>
  <c r="AW26" i="4" s="1" a="1"/>
  <c r="D44" i="3"/>
  <c r="G44" i="3" s="1"/>
  <c r="AS26" i="4"/>
  <c r="AN26" i="4"/>
  <c r="AO26" i="4"/>
  <c r="AP26" i="4"/>
  <c r="AM26" i="4"/>
  <c r="AR26" i="4"/>
  <c r="AQ26" i="4"/>
  <c r="J43" i="3" l="1"/>
  <c r="F43" i="3"/>
  <c r="H43" i="3" s="1"/>
  <c r="AY26" i="4" a="1"/>
  <c r="AY26" i="4" s="1"/>
  <c r="K42" i="3"/>
  <c r="E44" i="3"/>
  <c r="AW26" i="4"/>
  <c r="AU26" i="4" s="1"/>
  <c r="AX26" i="4" s="1"/>
  <c r="AT26" i="4"/>
  <c r="AK27" i="4"/>
  <c r="D45" i="3"/>
  <c r="G45" i="3" s="1"/>
  <c r="I43" i="3"/>
  <c r="F44" i="3" l="1"/>
  <c r="H44" i="3" s="1"/>
  <c r="J44" i="3"/>
  <c r="K43" i="3"/>
  <c r="E45" i="3"/>
  <c r="I44" i="3"/>
  <c r="AJ27" i="4"/>
  <c r="AY27" i="4" s="1" a="1"/>
  <c r="AL27" i="4"/>
  <c r="D46" i="3"/>
  <c r="G46" i="3" s="1"/>
  <c r="AQ27" i="4"/>
  <c r="AM27" i="4"/>
  <c r="AS27" i="4"/>
  <c r="AO27" i="4"/>
  <c r="AR27" i="4"/>
  <c r="AN27" i="4"/>
  <c r="AP27" i="4"/>
  <c r="AW27" i="4" l="1" a="1"/>
  <c r="AW27" i="4" s="1"/>
  <c r="F45" i="3"/>
  <c r="H45" i="3" s="1"/>
  <c r="J45" i="3"/>
  <c r="I45" i="3"/>
  <c r="K44" i="3"/>
  <c r="E46" i="3"/>
  <c r="AT27" i="4"/>
  <c r="AY27" i="4"/>
  <c r="AK28" i="4"/>
  <c r="AV27" i="4"/>
  <c r="D47" i="3"/>
  <c r="G47" i="3" s="1"/>
  <c r="BP46" i="4"/>
  <c r="J46" i="3" l="1"/>
  <c r="F46" i="3"/>
  <c r="H46" i="3" s="1"/>
  <c r="K45" i="3"/>
  <c r="E47" i="3"/>
  <c r="AU27" i="4"/>
  <c r="AX27" i="4" s="1"/>
  <c r="AL28" i="4"/>
  <c r="AV28" i="4" s="1"/>
  <c r="AJ28" i="4"/>
  <c r="AY28" i="4" s="1" a="1"/>
  <c r="D48" i="3"/>
  <c r="G48" i="3" s="1"/>
  <c r="BQ46" i="4"/>
  <c r="BP47" i="4"/>
  <c r="I46" i="3"/>
  <c r="AO28" i="4"/>
  <c r="AN28" i="4"/>
  <c r="AQ28" i="4"/>
  <c r="AS28" i="4"/>
  <c r="AR28" i="4"/>
  <c r="AP28" i="4"/>
  <c r="AM28" i="4"/>
  <c r="J47" i="3" l="1"/>
  <c r="F47" i="3"/>
  <c r="H47" i="3" s="1"/>
  <c r="AW28" i="4" a="1"/>
  <c r="AW28" i="4" s="1"/>
  <c r="AU28" i="4" s="1"/>
  <c r="AX28" i="4" s="1"/>
  <c r="K46" i="3"/>
  <c r="E48" i="3"/>
  <c r="AY28" i="4"/>
  <c r="AT28" i="4"/>
  <c r="AK29" i="4"/>
  <c r="D49" i="3"/>
  <c r="BP48" i="4"/>
  <c r="BQ47" i="4"/>
  <c r="I47" i="3" l="1"/>
  <c r="K47" i="3" s="1"/>
  <c r="J48" i="3"/>
  <c r="F48" i="3"/>
  <c r="H48" i="3" s="1"/>
  <c r="E49" i="3"/>
  <c r="AJ29" i="4"/>
  <c r="AY29" i="4" s="1" a="1"/>
  <c r="AL29" i="4"/>
  <c r="AV29" i="4" s="1"/>
  <c r="D50" i="3"/>
  <c r="G50" i="3" s="1"/>
  <c r="I48" i="3"/>
  <c r="BQ48" i="4"/>
  <c r="BP49" i="4"/>
  <c r="AN29" i="4"/>
  <c r="AP29" i="4"/>
  <c r="AS29" i="4"/>
  <c r="AO29" i="4"/>
  <c r="AQ29" i="4"/>
  <c r="AM29" i="4"/>
  <c r="AR29" i="4"/>
  <c r="J49" i="3" l="1"/>
  <c r="F49" i="3"/>
  <c r="AW29" i="4" a="1"/>
  <c r="AW29" i="4" s="1"/>
  <c r="AU29" i="4" s="1"/>
  <c r="AX29" i="4" s="1"/>
  <c r="K48" i="3"/>
  <c r="E50" i="3"/>
  <c r="AT29" i="4"/>
  <c r="AY29" i="4"/>
  <c r="AK30" i="4"/>
  <c r="D51" i="3"/>
  <c r="G51" i="3" s="1"/>
  <c r="BP50" i="4"/>
  <c r="BQ49" i="4"/>
  <c r="J50" i="3" l="1"/>
  <c r="F50" i="3"/>
  <c r="H50" i="3" s="1"/>
  <c r="H49" i="3"/>
  <c r="G49" i="3"/>
  <c r="I49" i="3" s="1"/>
  <c r="K49" i="3" s="1"/>
  <c r="E51" i="3"/>
  <c r="AL30" i="4"/>
  <c r="AV30" i="4" s="1"/>
  <c r="AJ30" i="4"/>
  <c r="AY30" i="4" s="1" a="1"/>
  <c r="D52" i="3"/>
  <c r="G52" i="3" s="1"/>
  <c r="I50" i="3"/>
  <c r="BQ50" i="4"/>
  <c r="BP51" i="4"/>
  <c r="AM30" i="4"/>
  <c r="AN30" i="4"/>
  <c r="AR30" i="4"/>
  <c r="AQ30" i="4"/>
  <c r="AS30" i="4"/>
  <c r="AP30" i="4"/>
  <c r="AO30" i="4"/>
  <c r="J51" i="3" l="1"/>
  <c r="F51" i="3"/>
  <c r="H51" i="3" s="1"/>
  <c r="K50" i="3"/>
  <c r="AW30" i="4" a="1"/>
  <c r="AW30" i="4" s="1"/>
  <c r="AU30" i="4" s="1"/>
  <c r="AX30" i="4" s="1"/>
  <c r="E52" i="3"/>
  <c r="AY30" i="4"/>
  <c r="AT30" i="4"/>
  <c r="AK31" i="4"/>
  <c r="D53" i="3"/>
  <c r="G53" i="3" s="1"/>
  <c r="I51" i="3"/>
  <c r="BP52" i="4"/>
  <c r="BQ51" i="4"/>
  <c r="F52" i="3" l="1"/>
  <c r="H52" i="3" s="1"/>
  <c r="J52" i="3"/>
  <c r="K51" i="3"/>
  <c r="E53" i="3"/>
  <c r="AL31" i="4"/>
  <c r="AV31" i="4" s="1"/>
  <c r="AJ31" i="4"/>
  <c r="AY31" i="4" s="1" a="1"/>
  <c r="D54" i="3"/>
  <c r="G54" i="3" s="1"/>
  <c r="BQ52" i="4"/>
  <c r="BP53" i="4"/>
  <c r="I52" i="3"/>
  <c r="AO31" i="4"/>
  <c r="AM31" i="4"/>
  <c r="AN31" i="4"/>
  <c r="AP31" i="4"/>
  <c r="AS31" i="4"/>
  <c r="AQ31" i="4"/>
  <c r="AR31" i="4"/>
  <c r="F53" i="3" l="1"/>
  <c r="H53" i="3" s="1"/>
  <c r="J53" i="3"/>
  <c r="K52" i="3"/>
  <c r="AW31" i="4" a="1"/>
  <c r="AW31" i="4" s="1"/>
  <c r="AU31" i="4" s="1"/>
  <c r="AX31" i="4" s="1"/>
  <c r="E54" i="3"/>
  <c r="AY31" i="4"/>
  <c r="AT31" i="4"/>
  <c r="AK32" i="4"/>
  <c r="D55" i="3"/>
  <c r="G55" i="3" s="1"/>
  <c r="I53" i="3"/>
  <c r="BP54" i="4"/>
  <c r="BQ53" i="4"/>
  <c r="BI18" i="4" s="1"/>
  <c r="J54" i="3" l="1"/>
  <c r="F54" i="3"/>
  <c r="H54" i="3" s="1"/>
  <c r="K53" i="3"/>
  <c r="E55" i="3"/>
  <c r="AL32" i="4"/>
  <c r="AV32" i="4" s="1"/>
  <c r="AJ32" i="4"/>
  <c r="AW32" i="4" s="1" a="1"/>
  <c r="D56" i="3"/>
  <c r="G56" i="3" s="1"/>
  <c r="BQ54" i="4"/>
  <c r="BP55" i="4"/>
  <c r="AM32" i="4"/>
  <c r="AN32" i="4"/>
  <c r="AO32" i="4"/>
  <c r="AS32" i="4"/>
  <c r="AQ32" i="4"/>
  <c r="AR32" i="4"/>
  <c r="AP32" i="4"/>
  <c r="AY32" i="4" a="1"/>
  <c r="J55" i="3" l="1"/>
  <c r="F55" i="3"/>
  <c r="H55" i="3" s="1"/>
  <c r="I54" i="3"/>
  <c r="K54" i="3" s="1"/>
  <c r="E56" i="3"/>
  <c r="AW32" i="4"/>
  <c r="AU32" i="4" s="1"/>
  <c r="AX32" i="4" s="1"/>
  <c r="AY32" i="4"/>
  <c r="AT32" i="4"/>
  <c r="AK33" i="4"/>
  <c r="D57" i="3"/>
  <c r="G57" i="3" s="1"/>
  <c r="BP56" i="4"/>
  <c r="BQ55" i="4"/>
  <c r="I55" i="3"/>
  <c r="J56" i="3" l="1"/>
  <c r="F56" i="3"/>
  <c r="H56" i="3" s="1"/>
  <c r="K55" i="3"/>
  <c r="E57" i="3"/>
  <c r="AJ33" i="4"/>
  <c r="AW33" i="4" s="1" a="1"/>
  <c r="AL33" i="4"/>
  <c r="D58" i="3"/>
  <c r="G58" i="3" s="1"/>
  <c r="I56" i="3"/>
  <c r="BQ56" i="4"/>
  <c r="BP57" i="4"/>
  <c r="AQ33" i="4"/>
  <c r="AS33" i="4"/>
  <c r="AM33" i="4"/>
  <c r="AN33" i="4"/>
  <c r="AR33" i="4"/>
  <c r="AO33" i="4"/>
  <c r="AP33" i="4"/>
  <c r="J57" i="3" l="1"/>
  <c r="F57" i="3"/>
  <c r="H57" i="3" s="1"/>
  <c r="AY33" i="4" a="1"/>
  <c r="AY33" i="4" s="1"/>
  <c r="K56" i="3"/>
  <c r="E58" i="3"/>
  <c r="AT33" i="4"/>
  <c r="AW33" i="4"/>
  <c r="AK34" i="4"/>
  <c r="AV33" i="4"/>
  <c r="I57" i="3"/>
  <c r="D59" i="3"/>
  <c r="G59" i="3" s="1"/>
  <c r="BP58" i="4"/>
  <c r="BQ57" i="4"/>
  <c r="J58" i="3" l="1"/>
  <c r="F58" i="3"/>
  <c r="H58" i="3" s="1"/>
  <c r="K57" i="3"/>
  <c r="E59" i="3"/>
  <c r="AJ34" i="4"/>
  <c r="AY34" i="4" s="1" a="1"/>
  <c r="AL34" i="4"/>
  <c r="AV34" i="4" s="1"/>
  <c r="AU33" i="4"/>
  <c r="AX33" i="4" s="1"/>
  <c r="D60" i="3"/>
  <c r="G60" i="3" s="1"/>
  <c r="BQ58" i="4"/>
  <c r="BP59" i="4"/>
  <c r="AW34" i="4" a="1"/>
  <c r="AS34" i="4"/>
  <c r="AN34" i="4"/>
  <c r="AM34" i="4"/>
  <c r="AP34" i="4"/>
  <c r="AR34" i="4"/>
  <c r="AQ34" i="4"/>
  <c r="AO34" i="4"/>
  <c r="I58" i="3" l="1"/>
  <c r="J59" i="3"/>
  <c r="F59" i="3"/>
  <c r="H59" i="3" s="1"/>
  <c r="K58" i="3"/>
  <c r="E60" i="3"/>
  <c r="AT34" i="4"/>
  <c r="AY34" i="4"/>
  <c r="AW34" i="4"/>
  <c r="AU34" i="4" s="1"/>
  <c r="AX34" i="4" s="1"/>
  <c r="AK35" i="4"/>
  <c r="D61" i="3"/>
  <c r="BP60" i="4"/>
  <c r="BQ59" i="4"/>
  <c r="F60" i="3" l="1"/>
  <c r="H60" i="3" s="1"/>
  <c r="J60" i="3"/>
  <c r="I59" i="3"/>
  <c r="K59" i="3" s="1"/>
  <c r="E61" i="3"/>
  <c r="AJ35" i="4"/>
  <c r="AW35" i="4" s="1" a="1"/>
  <c r="AL35" i="4"/>
  <c r="AV35" i="4" s="1"/>
  <c r="D62" i="3"/>
  <c r="G62" i="3" s="1"/>
  <c r="BQ60" i="4"/>
  <c r="BP61" i="4"/>
  <c r="AQ35" i="4"/>
  <c r="AO35" i="4"/>
  <c r="AM35" i="4"/>
  <c r="AS35" i="4"/>
  <c r="AR35" i="4"/>
  <c r="AP35" i="4"/>
  <c r="AN35" i="4"/>
  <c r="I60" i="3" l="1"/>
  <c r="F61" i="3"/>
  <c r="J61" i="3"/>
  <c r="K60" i="3"/>
  <c r="AY35" i="4" a="1"/>
  <c r="AY35" i="4" s="1"/>
  <c r="E62" i="3"/>
  <c r="AT35" i="4"/>
  <c r="AW35" i="4"/>
  <c r="AU35" i="4" s="1"/>
  <c r="AX35" i="4" s="1"/>
  <c r="AK36" i="4"/>
  <c r="D63" i="3"/>
  <c r="G63" i="3" s="1"/>
  <c r="BP62" i="4"/>
  <c r="BQ61" i="4"/>
  <c r="J62" i="3" l="1"/>
  <c r="F62" i="3"/>
  <c r="H62" i="3" s="1"/>
  <c r="H61" i="3"/>
  <c r="G61" i="3"/>
  <c r="E63" i="3"/>
  <c r="AJ36" i="4"/>
  <c r="AY36" i="4" s="1" a="1"/>
  <c r="AL36" i="4"/>
  <c r="AV36" i="4" s="1"/>
  <c r="D64" i="3"/>
  <c r="BQ62" i="4"/>
  <c r="BP63" i="4"/>
  <c r="AO36" i="4"/>
  <c r="AS36" i="4"/>
  <c r="AR36" i="4"/>
  <c r="AM36" i="4"/>
  <c r="AN36" i="4"/>
  <c r="AP36" i="4"/>
  <c r="AQ36" i="4"/>
  <c r="I61" i="3" l="1"/>
  <c r="K61" i="3" s="1"/>
  <c r="J63" i="3"/>
  <c r="F63" i="3"/>
  <c r="H63" i="3" s="1"/>
  <c r="I62" i="3"/>
  <c r="K62" i="3" s="1"/>
  <c r="AW36" i="4" a="1"/>
  <c r="AW36" i="4" s="1"/>
  <c r="AU36" i="4" s="1"/>
  <c r="AX36" i="4" s="1"/>
  <c r="E64" i="3"/>
  <c r="AT36" i="4"/>
  <c r="AY36" i="4"/>
  <c r="AK37" i="4"/>
  <c r="I63" i="3"/>
  <c r="D65" i="3"/>
  <c r="BP64" i="4"/>
  <c r="BQ63" i="4"/>
  <c r="D66" i="3" l="1"/>
  <c r="H65" i="3"/>
  <c r="G65" i="3"/>
  <c r="F65" i="3"/>
  <c r="J65" i="3"/>
  <c r="J64" i="3"/>
  <c r="F64" i="3"/>
  <c r="D67" i="3"/>
  <c r="K63" i="3"/>
  <c r="E65" i="3"/>
  <c r="AL37" i="4"/>
  <c r="AV37" i="4" s="1"/>
  <c r="AJ37" i="4"/>
  <c r="AW37" i="4" s="1" a="1"/>
  <c r="BP65" i="4"/>
  <c r="BQ64" i="4"/>
  <c r="AM37" i="4"/>
  <c r="AQ37" i="4"/>
  <c r="AP37" i="4"/>
  <c r="AO37" i="4"/>
  <c r="AR37" i="4"/>
  <c r="AN37" i="4"/>
  <c r="AS37" i="4"/>
  <c r="D68" i="3" l="1"/>
  <c r="G67" i="3"/>
  <c r="F67" i="3"/>
  <c r="H67" i="3"/>
  <c r="J67" i="3"/>
  <c r="J66" i="3"/>
  <c r="G66" i="3"/>
  <c r="F66" i="3"/>
  <c r="H66" i="3"/>
  <c r="G64" i="3"/>
  <c r="H64" i="3"/>
  <c r="AY37" i="4" a="1"/>
  <c r="AY37" i="4" s="1"/>
  <c r="D69" i="3"/>
  <c r="E68" i="3"/>
  <c r="L66" i="3"/>
  <c r="E66" i="3"/>
  <c r="AW37" i="4"/>
  <c r="AU37" i="4" s="1"/>
  <c r="AX37" i="4" s="1"/>
  <c r="AT37" i="4"/>
  <c r="AK38" i="4"/>
  <c r="I65" i="3"/>
  <c r="BP66" i="4"/>
  <c r="BQ65" i="4"/>
  <c r="BI19" i="4" s="1"/>
  <c r="E69" i="3" l="1"/>
  <c r="H69" i="3"/>
  <c r="G69" i="3"/>
  <c r="F69" i="3"/>
  <c r="J69" i="3"/>
  <c r="D70" i="3"/>
  <c r="J68" i="3"/>
  <c r="G68" i="3"/>
  <c r="H68" i="3"/>
  <c r="F68" i="3"/>
  <c r="I64" i="3"/>
  <c r="K64" i="3" s="1"/>
  <c r="D71" i="3"/>
  <c r="E70" i="3"/>
  <c r="K65" i="3"/>
  <c r="L67" i="3"/>
  <c r="E67" i="3"/>
  <c r="I66" i="3"/>
  <c r="AL38" i="4"/>
  <c r="AV38" i="4" s="1"/>
  <c r="AJ38" i="4"/>
  <c r="AY38" i="4" s="1" a="1"/>
  <c r="BP67" i="4"/>
  <c r="BQ66" i="4"/>
  <c r="AQ38" i="4"/>
  <c r="AR38" i="4"/>
  <c r="AO38" i="4"/>
  <c r="AP38" i="4"/>
  <c r="AS38" i="4"/>
  <c r="AM38" i="4"/>
  <c r="AN38" i="4"/>
  <c r="J70" i="3" l="1"/>
  <c r="H70" i="3"/>
  <c r="G70" i="3"/>
  <c r="F70" i="3"/>
  <c r="G71" i="3"/>
  <c r="F71" i="3"/>
  <c r="H71" i="3"/>
  <c r="J71" i="3"/>
  <c r="AW38" i="4" a="1"/>
  <c r="AW38" i="4" s="1"/>
  <c r="AU38" i="4" s="1"/>
  <c r="AX38" i="4" s="1"/>
  <c r="K66" i="3"/>
  <c r="D72" i="3"/>
  <c r="E71" i="3"/>
  <c r="M66" i="3"/>
  <c r="N66" i="3" s="1"/>
  <c r="L68" i="3"/>
  <c r="I67" i="3"/>
  <c r="AY38" i="4"/>
  <c r="AT38" i="4"/>
  <c r="AK39" i="4"/>
  <c r="BP68" i="4"/>
  <c r="BQ67" i="4"/>
  <c r="J72" i="3" l="1"/>
  <c r="G72" i="3"/>
  <c r="F72" i="3"/>
  <c r="H72" i="3"/>
  <c r="D73" i="3"/>
  <c r="E72" i="3"/>
  <c r="K67" i="3"/>
  <c r="M67" i="3" s="1"/>
  <c r="N67" i="3" s="1"/>
  <c r="L69" i="3"/>
  <c r="I68" i="3"/>
  <c r="AJ39" i="4"/>
  <c r="AW39" i="4" s="1" a="1"/>
  <c r="AL39" i="4"/>
  <c r="AV39" i="4" s="1"/>
  <c r="BP69" i="4"/>
  <c r="BQ68" i="4"/>
  <c r="AR39" i="4"/>
  <c r="AN39" i="4"/>
  <c r="AP39" i="4"/>
  <c r="AM39" i="4"/>
  <c r="AO39" i="4"/>
  <c r="AQ39" i="4"/>
  <c r="AS39" i="4"/>
  <c r="H73" i="3" l="1"/>
  <c r="G73" i="3"/>
  <c r="F73" i="3"/>
  <c r="J73" i="3"/>
  <c r="D74" i="3"/>
  <c r="E73" i="3"/>
  <c r="AY39" i="4" a="1"/>
  <c r="AY39" i="4" s="1"/>
  <c r="K68" i="3"/>
  <c r="M68" i="3" s="1"/>
  <c r="N68" i="3" s="1"/>
  <c r="L70" i="3"/>
  <c r="AT39" i="4"/>
  <c r="AW39" i="4"/>
  <c r="AU39" i="4" s="1"/>
  <c r="AX39" i="4" s="1"/>
  <c r="AK40" i="4"/>
  <c r="BP70" i="4"/>
  <c r="BQ69" i="4"/>
  <c r="J74" i="3" l="1"/>
  <c r="G74" i="3"/>
  <c r="F74" i="3"/>
  <c r="H74" i="3"/>
  <c r="D75" i="3"/>
  <c r="E74" i="3"/>
  <c r="L71" i="3"/>
  <c r="I69" i="3"/>
  <c r="K69" i="3" s="1"/>
  <c r="M69" i="3" s="1"/>
  <c r="N69" i="3" s="1"/>
  <c r="AJ40" i="4"/>
  <c r="AY40" i="4" s="1" a="1"/>
  <c r="AL40" i="4"/>
  <c r="AV40" i="4" s="1"/>
  <c r="BP71" i="4"/>
  <c r="BQ70" i="4"/>
  <c r="AQ40" i="4"/>
  <c r="AR40" i="4"/>
  <c r="AM40" i="4"/>
  <c r="AS40" i="4"/>
  <c r="AN40" i="4"/>
  <c r="AO40" i="4"/>
  <c r="AP40" i="4"/>
  <c r="G75" i="3" l="1"/>
  <c r="F75" i="3"/>
  <c r="H75" i="3"/>
  <c r="J75" i="3"/>
  <c r="D76" i="3"/>
  <c r="E75" i="3"/>
  <c r="AW40" i="4" a="1"/>
  <c r="AW40" i="4" s="1"/>
  <c r="AU40" i="4" s="1"/>
  <c r="AX40" i="4" s="1"/>
  <c r="L72" i="3"/>
  <c r="I70" i="3"/>
  <c r="K70" i="3" s="1"/>
  <c r="M70" i="3" s="1"/>
  <c r="N70" i="3" s="1"/>
  <c r="AT40" i="4"/>
  <c r="AY40" i="4"/>
  <c r="AK41" i="4"/>
  <c r="BP72" i="4"/>
  <c r="BQ71" i="4"/>
  <c r="J76" i="3" l="1"/>
  <c r="H76" i="3"/>
  <c r="G76" i="3"/>
  <c r="F76" i="3"/>
  <c r="D77" i="3"/>
  <c r="E76" i="3"/>
  <c r="L73" i="3"/>
  <c r="I72" i="3"/>
  <c r="I71" i="3"/>
  <c r="K71" i="3" s="1"/>
  <c r="M71" i="3" s="1"/>
  <c r="N71" i="3" s="1"/>
  <c r="AJ41" i="4"/>
  <c r="AW41" i="4" s="1" a="1"/>
  <c r="AL41" i="4"/>
  <c r="AV41" i="4" s="1"/>
  <c r="BP73" i="4"/>
  <c r="BQ72" i="4"/>
  <c r="AM41" i="4"/>
  <c r="AP41" i="4"/>
  <c r="AS41" i="4"/>
  <c r="AN41" i="4"/>
  <c r="AR41" i="4"/>
  <c r="AO41" i="4"/>
  <c r="AQ41" i="4"/>
  <c r="E77" i="3" l="1"/>
  <c r="H77" i="3"/>
  <c r="B25" i="3" s="1"/>
  <c r="G77" i="3"/>
  <c r="B24" i="3" s="1"/>
  <c r="F77" i="3"/>
  <c r="B23" i="3" s="1"/>
  <c r="J77" i="3"/>
  <c r="B26" i="3" s="1"/>
  <c r="K72" i="3"/>
  <c r="M72" i="3" s="1"/>
  <c r="N72" i="3" s="1"/>
  <c r="AY41" i="4" a="1"/>
  <c r="AY41" i="4" s="1"/>
  <c r="L74" i="3"/>
  <c r="AT41" i="4"/>
  <c r="AW41" i="4"/>
  <c r="AU41" i="4" s="1"/>
  <c r="AX41" i="4" s="1"/>
  <c r="AK42" i="4"/>
  <c r="BP74" i="4"/>
  <c r="BQ73" i="4"/>
  <c r="L75" i="3" l="1"/>
  <c r="I74" i="3"/>
  <c r="I73" i="3"/>
  <c r="K73" i="3" s="1"/>
  <c r="M73" i="3" s="1"/>
  <c r="N73" i="3" s="1"/>
  <c r="AJ42" i="4"/>
  <c r="AY42" i="4" s="1" a="1"/>
  <c r="AL42" i="4"/>
  <c r="BP75" i="4"/>
  <c r="BQ74" i="4"/>
  <c r="AR42" i="4"/>
  <c r="AQ42" i="4"/>
  <c r="AO42" i="4"/>
  <c r="AS42" i="4"/>
  <c r="AP42" i="4"/>
  <c r="AN42" i="4"/>
  <c r="AM42" i="4"/>
  <c r="K74" i="3" l="1"/>
  <c r="M74" i="3" s="1"/>
  <c r="N74" i="3" s="1"/>
  <c r="AW42" i="4" a="1"/>
  <c r="AW42" i="4" s="1"/>
  <c r="L76" i="3"/>
  <c r="I75" i="3"/>
  <c r="AT42" i="4"/>
  <c r="AY42" i="4"/>
  <c r="AK43" i="4"/>
  <c r="AV42" i="4"/>
  <c r="BP76" i="4"/>
  <c r="BQ75" i="4"/>
  <c r="K75" i="3" l="1"/>
  <c r="M75" i="3"/>
  <c r="N75" i="3" s="1"/>
  <c r="L77" i="3"/>
  <c r="AL43" i="4"/>
  <c r="AV43" i="4" s="1"/>
  <c r="AJ43" i="4"/>
  <c r="AY43" i="4" s="1" a="1"/>
  <c r="AU42" i="4"/>
  <c r="AX42" i="4" s="1"/>
  <c r="BP77" i="4"/>
  <c r="BQ76" i="4"/>
  <c r="AN43" i="4"/>
  <c r="AR43" i="4"/>
  <c r="AM43" i="4"/>
  <c r="AP43" i="4"/>
  <c r="AO43" i="4"/>
  <c r="AQ43" i="4"/>
  <c r="AS43" i="4"/>
  <c r="AW43" i="4" a="1"/>
  <c r="I76" i="3" l="1"/>
  <c r="K76" i="3" s="1"/>
  <c r="M76" i="3" s="1"/>
  <c r="N76" i="3" s="1"/>
  <c r="AY43" i="4"/>
  <c r="AW43" i="4"/>
  <c r="AT43" i="4"/>
  <c r="AU43" i="4"/>
  <c r="AX43" i="4" s="1"/>
  <c r="AK44" i="4"/>
  <c r="BQ77" i="4"/>
  <c r="BI20" i="4" s="1"/>
  <c r="BP78" i="4"/>
  <c r="I77" i="3" l="1"/>
  <c r="K77" i="3" s="1"/>
  <c r="M77" i="3" s="1"/>
  <c r="N77" i="3" s="1"/>
  <c r="AL44" i="4"/>
  <c r="AV44" i="4" s="1"/>
  <c r="AJ44" i="4"/>
  <c r="AY44" i="4" s="1" a="1"/>
  <c r="BP79" i="4"/>
  <c r="BQ78" i="4"/>
  <c r="AR44" i="4"/>
  <c r="AO44" i="4"/>
  <c r="AP44" i="4"/>
  <c r="AS44" i="4"/>
  <c r="AN44" i="4"/>
  <c r="AM44" i="4"/>
  <c r="AQ44" i="4"/>
  <c r="AW44" i="4" l="1" a="1"/>
  <c r="AW44" i="4" s="1"/>
  <c r="AU44" i="4" s="1"/>
  <c r="AX44" i="4" s="1"/>
  <c r="AY44" i="4"/>
  <c r="AT44" i="4"/>
  <c r="AK45" i="4"/>
  <c r="BP80" i="4"/>
  <c r="BQ79" i="4"/>
  <c r="AJ45" i="4" l="1"/>
  <c r="AW45" i="4" s="1" a="1"/>
  <c r="AL45" i="4"/>
  <c r="AV45" i="4" s="1"/>
  <c r="BQ80" i="4"/>
  <c r="BP81" i="4"/>
  <c r="AY45" i="4" a="1"/>
  <c r="AP45" i="4"/>
  <c r="AS45" i="4"/>
  <c r="AO45" i="4"/>
  <c r="AR45" i="4"/>
  <c r="AN45" i="4"/>
  <c r="AQ45" i="4"/>
  <c r="AM45" i="4"/>
  <c r="AT45" i="4" l="1"/>
  <c r="AW45" i="4"/>
  <c r="AU45" i="4" s="1"/>
  <c r="AX45" i="4" s="1"/>
  <c r="AY45" i="4"/>
  <c r="AK46" i="4"/>
  <c r="BQ81" i="4"/>
  <c r="BP82" i="4"/>
  <c r="AL46" i="4" l="1"/>
  <c r="AV46" i="4" s="1"/>
  <c r="AJ46" i="4"/>
  <c r="AY46" i="4" s="1" a="1"/>
  <c r="BP83" i="4"/>
  <c r="BQ82" i="4"/>
  <c r="AS46" i="4"/>
  <c r="AP46" i="4"/>
  <c r="AM46" i="4"/>
  <c r="AR46" i="4"/>
  <c r="AN46" i="4"/>
  <c r="AQ46" i="4"/>
  <c r="AO46" i="4"/>
  <c r="AW46" i="4" a="1"/>
  <c r="AY46" i="4" l="1"/>
  <c r="AW46" i="4"/>
  <c r="AU46" i="4" s="1"/>
  <c r="AX46" i="4" s="1"/>
  <c r="AT46" i="4"/>
  <c r="AK47" i="4"/>
  <c r="BP84" i="4"/>
  <c r="BQ83" i="4"/>
  <c r="AJ47" i="4" l="1"/>
  <c r="AY47" i="4" s="1" a="1"/>
  <c r="AL47" i="4"/>
  <c r="BQ84" i="4"/>
  <c r="BP85" i="4"/>
  <c r="AW47" i="4" a="1"/>
  <c r="AP47" i="4"/>
  <c r="AO47" i="4"/>
  <c r="AR47" i="4"/>
  <c r="AQ47" i="4"/>
  <c r="AN47" i="4"/>
  <c r="AM47" i="4"/>
  <c r="AS47" i="4"/>
  <c r="AT47" i="4" l="1"/>
  <c r="AY47" i="4"/>
  <c r="AW47" i="4"/>
  <c r="AK48" i="4"/>
  <c r="AV47" i="4"/>
  <c r="BQ85" i="4"/>
  <c r="BP86" i="4"/>
  <c r="AU47" i="4" l="1"/>
  <c r="AX47" i="4" s="1"/>
  <c r="AJ48" i="4"/>
  <c r="AW48" i="4" s="1" a="1"/>
  <c r="AL48" i="4"/>
  <c r="AV48" i="4" s="1"/>
  <c r="BP87" i="4"/>
  <c r="BP88" i="4" s="1"/>
  <c r="BQ86" i="4"/>
  <c r="AQ48" i="4"/>
  <c r="AR48" i="4"/>
  <c r="AM48" i="4"/>
  <c r="AN48" i="4"/>
  <c r="AS48" i="4"/>
  <c r="AO48" i="4"/>
  <c r="AP48" i="4"/>
  <c r="AY48" i="4" l="1" a="1"/>
  <c r="AY48" i="4" s="1"/>
  <c r="AT48" i="4"/>
  <c r="AW48" i="4"/>
  <c r="AU48" i="4" s="1"/>
  <c r="AX48" i="4" s="1"/>
  <c r="AK49" i="4"/>
  <c r="BQ87" i="4"/>
  <c r="BQ88" i="4" s="1"/>
  <c r="AJ49" i="4" l="1"/>
  <c r="AW49" i="4" s="1" a="1"/>
  <c r="AL49" i="4"/>
  <c r="AV49" i="4" s="1"/>
  <c r="AQ49" i="4"/>
  <c r="AP49" i="4"/>
  <c r="AO49" i="4"/>
  <c r="AN49" i="4"/>
  <c r="AS49" i="4"/>
  <c r="AM49" i="4"/>
  <c r="AR49" i="4"/>
  <c r="AY49" i="4" l="1" a="1"/>
  <c r="AY49" i="4" s="1"/>
  <c r="AT49" i="4"/>
  <c r="AW49" i="4"/>
  <c r="AU49" i="4" s="1"/>
  <c r="AX49" i="4" s="1"/>
  <c r="AK50" i="4"/>
  <c r="AL50" i="4" l="1"/>
  <c r="AV50" i="4" s="1"/>
  <c r="AJ50" i="4"/>
  <c r="AQ50" i="4"/>
  <c r="AR50" i="4"/>
  <c r="AM50" i="4"/>
  <c r="AS50" i="4"/>
  <c r="AN50" i="4"/>
  <c r="AO50" i="4"/>
  <c r="AP50" i="4"/>
  <c r="AW50" i="4" a="1"/>
  <c r="AY50" i="4" a="1"/>
  <c r="AY50" i="4" l="1"/>
  <c r="AW50" i="4"/>
  <c r="AU50" i="4" s="1"/>
  <c r="AX50" i="4" s="1"/>
  <c r="AT50" i="4"/>
  <c r="AK51" i="4"/>
  <c r="AJ51" i="4" l="1"/>
  <c r="AY51" i="4" s="1" a="1"/>
  <c r="AL51" i="4"/>
  <c r="AV51" i="4" s="1"/>
  <c r="AW51" i="4" a="1"/>
  <c r="AM51" i="4"/>
  <c r="AQ51" i="4"/>
  <c r="AO51" i="4"/>
  <c r="AP51" i="4"/>
  <c r="AN51" i="4"/>
  <c r="AR51" i="4"/>
  <c r="AS51" i="4"/>
  <c r="AT51" i="4" l="1"/>
  <c r="AW51" i="4"/>
  <c r="AU51" i="4" s="1"/>
  <c r="AX51" i="4" s="1"/>
  <c r="AY51" i="4"/>
  <c r="AK52" i="4"/>
  <c r="AJ52" i="4" l="1"/>
  <c r="AW52" i="4" s="1" a="1"/>
  <c r="AL52" i="4"/>
  <c r="AV52" i="4" s="1"/>
  <c r="AP52" i="4"/>
  <c r="AR52" i="4"/>
  <c r="AM52" i="4"/>
  <c r="AO52" i="4"/>
  <c r="AN52" i="4"/>
  <c r="AS52" i="4"/>
  <c r="AQ52" i="4"/>
  <c r="AY52" i="4" l="1" a="1"/>
  <c r="AY52" i="4" s="1"/>
  <c r="AT52" i="4"/>
  <c r="AW52" i="4"/>
  <c r="AU52" i="4" s="1"/>
  <c r="AX52" i="4" s="1"/>
  <c r="AK53" i="4"/>
  <c r="AJ53" i="4" l="1"/>
  <c r="AW53" i="4" s="1" a="1"/>
  <c r="AL53" i="4"/>
  <c r="AV53" i="4" s="1"/>
  <c r="AM53" i="4"/>
  <c r="AR53" i="4"/>
  <c r="AO53" i="4"/>
  <c r="AP53" i="4"/>
  <c r="AS53" i="4"/>
  <c r="AQ53" i="4"/>
  <c r="AN53" i="4"/>
  <c r="AY53" i="4" l="1" a="1"/>
  <c r="AY53" i="4" s="1"/>
  <c r="AT53" i="4"/>
  <c r="AW53" i="4"/>
  <c r="AU53" i="4" s="1"/>
  <c r="AX53" i="4" s="1"/>
  <c r="AK54" i="4"/>
  <c r="AJ54" i="4" l="1"/>
  <c r="AW54" i="4" s="1" a="1"/>
  <c r="AL54" i="4"/>
  <c r="AV54" i="4" s="1"/>
  <c r="AP54" i="4"/>
  <c r="AO54" i="4"/>
  <c r="AN54" i="4"/>
  <c r="AR54" i="4"/>
  <c r="AM54" i="4"/>
  <c r="AQ54" i="4"/>
  <c r="AS54" i="4"/>
  <c r="AY54" i="4" l="1" a="1"/>
  <c r="AY54" i="4" s="1"/>
  <c r="AT54" i="4"/>
  <c r="AW54" i="4"/>
  <c r="AU54" i="4" s="1"/>
  <c r="AX54" i="4" s="1"/>
  <c r="AK55" i="4"/>
  <c r="AJ55" i="4" l="1"/>
  <c r="AY55" i="4" s="1" a="1"/>
  <c r="AL55" i="4"/>
  <c r="AV55" i="4" s="1"/>
  <c r="AR55" i="4"/>
  <c r="AP55" i="4"/>
  <c r="AQ55" i="4"/>
  <c r="AM55" i="4"/>
  <c r="AN55" i="4"/>
  <c r="AO55" i="4"/>
  <c r="AS55" i="4"/>
  <c r="AW55" i="4" l="1" a="1"/>
  <c r="AW55" i="4" s="1"/>
  <c r="AU55" i="4" s="1"/>
  <c r="AX55" i="4" s="1"/>
  <c r="AT55" i="4"/>
  <c r="AY55" i="4"/>
  <c r="AK56" i="4"/>
  <c r="AJ56" i="4" l="1"/>
  <c r="AW56" i="4" s="1" a="1"/>
  <c r="AL56" i="4"/>
  <c r="AV56" i="4" s="1"/>
  <c r="AY56" i="4" a="1"/>
  <c r="AQ56" i="4"/>
  <c r="AO56" i="4"/>
  <c r="AP56" i="4"/>
  <c r="AS56" i="4"/>
  <c r="AR56" i="4"/>
  <c r="AM56" i="4"/>
  <c r="AN56" i="4"/>
  <c r="AT56" i="4" l="1"/>
  <c r="AY56" i="4"/>
  <c r="AW56" i="4"/>
  <c r="AU56" i="4" s="1"/>
  <c r="AX56" i="4" s="1"/>
  <c r="AK57" i="4"/>
  <c r="AL57" i="4" l="1"/>
  <c r="AV57" i="4" s="1"/>
  <c r="AJ57" i="4"/>
  <c r="AY57" i="4" s="1" a="1"/>
  <c r="AO57" i="4"/>
  <c r="AP57" i="4"/>
  <c r="AM57" i="4"/>
  <c r="AR57" i="4"/>
  <c r="AS57" i="4"/>
  <c r="AQ57" i="4"/>
  <c r="AN57" i="4"/>
  <c r="AW57" i="4" l="1" a="1"/>
  <c r="AW57" i="4" s="1"/>
  <c r="AU57" i="4" s="1"/>
  <c r="AX57" i="4" s="1"/>
  <c r="AY57" i="4"/>
  <c r="AT57" i="4"/>
  <c r="AK58" i="4"/>
  <c r="AL58" i="4" l="1"/>
  <c r="AV58" i="4" s="1"/>
  <c r="AJ58" i="4"/>
  <c r="AW58" i="4" s="1" a="1"/>
  <c r="AP58" i="4"/>
  <c r="AN58" i="4"/>
  <c r="AM58" i="4"/>
  <c r="AO58" i="4"/>
  <c r="AR58" i="4"/>
  <c r="AS58" i="4"/>
  <c r="AQ58" i="4"/>
  <c r="AY58" i="4" l="1" a="1"/>
  <c r="AY58" i="4" s="1"/>
  <c r="AW58" i="4"/>
  <c r="AT58" i="4"/>
  <c r="AU58" i="4"/>
  <c r="AX58" i="4" s="1"/>
  <c r="AK59" i="4"/>
  <c r="AL59" i="4" l="1"/>
  <c r="AV59" i="4" s="1"/>
  <c r="AJ59" i="4"/>
  <c r="AW59" i="4" s="1" a="1"/>
  <c r="AO59" i="4"/>
  <c r="AP59" i="4"/>
  <c r="AM59" i="4"/>
  <c r="AS59" i="4"/>
  <c r="AQ59" i="4"/>
  <c r="AN59" i="4"/>
  <c r="AR59" i="4"/>
  <c r="AY59" i="4" l="1" a="1"/>
  <c r="AY59" i="4" s="1"/>
  <c r="AW59" i="4"/>
  <c r="AU59" i="4" s="1"/>
  <c r="AX59" i="4" s="1"/>
  <c r="AT59" i="4"/>
  <c r="AK60" i="4"/>
  <c r="AL60" i="4" l="1"/>
  <c r="AV60" i="4" s="1"/>
  <c r="AJ60" i="4"/>
  <c r="AY60" i="4" s="1" a="1"/>
  <c r="AP60" i="4"/>
  <c r="AR60" i="4"/>
  <c r="AM60" i="4"/>
  <c r="AN60" i="4"/>
  <c r="AQ60" i="4"/>
  <c r="AO60" i="4"/>
  <c r="AS60" i="4"/>
  <c r="AW60" i="4" a="1"/>
  <c r="AW60" i="4" l="1"/>
  <c r="AU60" i="4" s="1"/>
  <c r="AX60" i="4" s="1"/>
  <c r="AY60" i="4"/>
  <c r="AT60" i="4"/>
  <c r="AK61" i="4"/>
  <c r="AL61" i="4" l="1"/>
  <c r="AV61" i="4" s="1"/>
  <c r="AJ61" i="4"/>
  <c r="AW61" i="4" s="1" a="1"/>
  <c r="AR61" i="4"/>
  <c r="AP61" i="4"/>
  <c r="AN61" i="4"/>
  <c r="AM61" i="4"/>
  <c r="AS61" i="4"/>
  <c r="AO61" i="4"/>
  <c r="AQ61" i="4"/>
  <c r="AY61" i="4" l="1" a="1"/>
  <c r="AY61" i="4" s="1"/>
  <c r="AW61" i="4"/>
  <c r="AU61" i="4" s="1"/>
  <c r="AX61" i="4" s="1"/>
  <c r="AT61" i="4"/>
  <c r="AK62" i="4"/>
  <c r="AL62" i="4" l="1"/>
  <c r="AV62" i="4" s="1"/>
  <c r="AJ62" i="4"/>
  <c r="AY62" i="4" s="1" a="1"/>
  <c r="AN62" i="4"/>
  <c r="AM62" i="4"/>
  <c r="AS62" i="4"/>
  <c r="AO62" i="4"/>
  <c r="AP62" i="4"/>
  <c r="AQ62" i="4"/>
  <c r="AR62" i="4"/>
  <c r="AW62" i="4" l="1" a="1"/>
  <c r="AW62" i="4" s="1"/>
  <c r="AY62" i="4"/>
  <c r="AT62" i="4"/>
  <c r="AU62" i="4"/>
  <c r="AX62" i="4" s="1"/>
  <c r="AK63" i="4"/>
  <c r="AL63" i="4" l="1"/>
  <c r="AV63" i="4" s="1"/>
  <c r="AJ63" i="4"/>
  <c r="AY63" i="4" s="1" a="1"/>
  <c r="AQ63" i="4"/>
  <c r="AS63" i="4"/>
  <c r="AM63" i="4"/>
  <c r="AN63" i="4"/>
  <c r="AR63" i="4"/>
  <c r="AO63" i="4"/>
  <c r="AP63" i="4"/>
  <c r="AW63" i="4" l="1" a="1"/>
  <c r="AW63" i="4" s="1"/>
  <c r="AU63" i="4" s="1"/>
  <c r="AX63" i="4" s="1"/>
  <c r="AY63" i="4"/>
  <c r="AT63" i="4"/>
  <c r="AK64" i="4"/>
  <c r="AJ64" i="4" l="1"/>
  <c r="AY64" i="4" s="1" a="1"/>
  <c r="AL64" i="4"/>
  <c r="AV64" i="4" s="1"/>
  <c r="AW64" i="4" a="1"/>
  <c r="AQ64" i="4"/>
  <c r="AM64" i="4"/>
  <c r="AN64" i="4"/>
  <c r="AP64" i="4"/>
  <c r="AO64" i="4"/>
  <c r="AR64" i="4"/>
  <c r="AS64" i="4"/>
  <c r="AT64" i="4" l="1"/>
  <c r="AY64" i="4"/>
  <c r="AW64" i="4"/>
  <c r="AU64" i="4" s="1"/>
  <c r="AX64" i="4" s="1"/>
  <c r="AK65" i="4"/>
  <c r="AL65" i="4" l="1"/>
  <c r="AV65" i="4" s="1"/>
  <c r="AJ65" i="4"/>
  <c r="AW65" i="4" s="1" a="1"/>
  <c r="AP65" i="4"/>
  <c r="AN65" i="4"/>
  <c r="AR65" i="4"/>
  <c r="AS65" i="4"/>
  <c r="AQ65" i="4"/>
  <c r="AM65" i="4"/>
  <c r="AO65" i="4"/>
  <c r="AY65" i="4" l="1" a="1"/>
  <c r="AY65" i="4" s="1"/>
  <c r="AW65" i="4"/>
  <c r="AU65" i="4" s="1"/>
  <c r="AX65" i="4" s="1"/>
  <c r="AT65" i="4"/>
  <c r="AK66" i="4"/>
  <c r="AL66" i="4" l="1"/>
  <c r="AV66" i="4" s="1"/>
  <c r="AJ66" i="4"/>
  <c r="AY66" i="4" s="1" a="1"/>
  <c r="AO66" i="4"/>
  <c r="AS66" i="4"/>
  <c r="AR66" i="4"/>
  <c r="AM66" i="4"/>
  <c r="AQ66" i="4"/>
  <c r="AN66" i="4"/>
  <c r="AP66" i="4"/>
  <c r="AW66" i="4" l="1" a="1"/>
  <c r="AW66" i="4" s="1"/>
  <c r="AU66" i="4" s="1"/>
  <c r="AX66" i="4" s="1"/>
  <c r="AY66" i="4"/>
  <c r="AT66" i="4"/>
  <c r="AK67" i="4"/>
  <c r="AL67" i="4" l="1"/>
  <c r="AV67" i="4" s="1"/>
  <c r="AJ67" i="4"/>
  <c r="AY67" i="4" s="1" a="1"/>
  <c r="AQ67" i="4"/>
  <c r="AP67" i="4"/>
  <c r="AN67" i="4"/>
  <c r="AR67" i="4"/>
  <c r="AO67" i="4"/>
  <c r="AS67" i="4"/>
  <c r="AM67" i="4"/>
  <c r="AW67" i="4" l="1" a="1"/>
  <c r="AW67" i="4" s="1"/>
  <c r="AU67" i="4" s="1"/>
  <c r="AX67" i="4" s="1"/>
  <c r="AY67" i="4"/>
  <c r="AT67" i="4"/>
  <c r="AK68" i="4"/>
  <c r="AM68" i="4" l="1"/>
  <c r="AN68" i="4"/>
  <c r="AS68" i="4"/>
  <c r="AT68" i="4"/>
  <c r="AQ68" i="4"/>
  <c r="AR68" i="4"/>
  <c r="AL68" i="4"/>
  <c r="AK69" i="4" s="1"/>
  <c r="AJ68" i="4"/>
  <c r="AO68" i="4"/>
  <c r="AX68" i="4"/>
  <c r="AV68" i="4"/>
  <c r="AP68" i="4"/>
  <c r="AS69" i="4" l="1"/>
  <c r="AM69" i="4"/>
  <c r="AN69" i="4"/>
  <c r="AL69" i="4"/>
  <c r="AK70" i="4" s="1"/>
  <c r="AQ69" i="4"/>
  <c r="AR69" i="4"/>
  <c r="AT69" i="4"/>
  <c r="AJ69" i="4"/>
  <c r="AP69" i="4"/>
  <c r="AX69" i="4"/>
  <c r="AV69" i="4"/>
  <c r="AO69" i="4"/>
  <c r="AY68" i="4" a="1"/>
  <c r="AY68" i="4" s="1"/>
  <c r="AW68" i="4" a="1"/>
  <c r="AW68" i="4" s="1"/>
  <c r="AU68" i="4"/>
  <c r="AY69" i="4" l="1" a="1"/>
  <c r="AY69" i="4" s="1"/>
  <c r="AU69" i="4"/>
  <c r="AW69" i="4" a="1"/>
  <c r="AW69" i="4" s="1"/>
  <c r="AJ70" i="4"/>
  <c r="AO70" i="4"/>
  <c r="AT70" i="4"/>
  <c r="AX70" i="4"/>
  <c r="AV70" i="4"/>
  <c r="AP70" i="4"/>
  <c r="AM70" i="4"/>
  <c r="AN70" i="4"/>
  <c r="AS70" i="4"/>
  <c r="AQ70" i="4"/>
  <c r="AR70" i="4"/>
  <c r="AL70" i="4"/>
  <c r="AK71" i="4" s="1"/>
  <c r="AU70" i="4" l="1"/>
  <c r="AY70" i="4" a="1"/>
  <c r="AY70" i="4" s="1"/>
  <c r="AW70" i="4" a="1"/>
  <c r="AW70" i="4" s="1"/>
  <c r="AM71" i="4"/>
  <c r="AJ71" i="4"/>
  <c r="AT71" i="4"/>
  <c r="AN71" i="4"/>
  <c r="AO71" i="4"/>
  <c r="AL71" i="4"/>
  <c r="AK72" i="4" s="1"/>
  <c r="AR71" i="4"/>
  <c r="AS71" i="4"/>
  <c r="AQ71" i="4"/>
  <c r="AV71" i="4"/>
  <c r="AP71" i="4"/>
  <c r="AX71" i="4"/>
  <c r="AL72" i="4" l="1"/>
  <c r="AK73" i="4" s="1"/>
  <c r="AQ72" i="4"/>
  <c r="AR72" i="4"/>
  <c r="AT72" i="4"/>
  <c r="AJ72" i="4"/>
  <c r="AO72" i="4"/>
  <c r="AM72" i="4"/>
  <c r="AS72" i="4"/>
  <c r="AP72" i="4"/>
  <c r="AX72" i="4"/>
  <c r="AV72" i="4"/>
  <c r="AN72" i="4"/>
  <c r="AW71" i="4" a="1"/>
  <c r="AW71" i="4" s="1"/>
  <c r="AU71" i="4"/>
  <c r="AY71" i="4" a="1"/>
  <c r="AY71" i="4" s="1"/>
  <c r="AU72" i="4" l="1"/>
  <c r="AY72" i="4" a="1"/>
  <c r="AY72" i="4" s="1"/>
  <c r="AW72" i="4" a="1"/>
  <c r="AW72" i="4" s="1"/>
  <c r="AN73" i="4"/>
  <c r="AS73" i="4"/>
  <c r="AM73" i="4"/>
  <c r="AR73" i="4"/>
  <c r="AL73" i="4"/>
  <c r="AK74" i="4" s="1"/>
  <c r="AQ73" i="4"/>
  <c r="AV73" i="4"/>
  <c r="AP73" i="4"/>
  <c r="AX73" i="4"/>
  <c r="AJ73" i="4"/>
  <c r="AO73" i="4"/>
  <c r="AT73" i="4"/>
  <c r="AP74" i="4" l="1"/>
  <c r="AX74" i="4"/>
  <c r="AV74" i="4"/>
  <c r="AT74" i="4"/>
  <c r="AJ74" i="4"/>
  <c r="AO74" i="4"/>
  <c r="AM74" i="4"/>
  <c r="AN74" i="4"/>
  <c r="AS74" i="4"/>
  <c r="AL74" i="4"/>
  <c r="AK75" i="4" s="1"/>
  <c r="AQ74" i="4"/>
  <c r="AR74" i="4"/>
  <c r="AY73" i="4" a="1"/>
  <c r="AY73" i="4" s="1"/>
  <c r="AW73" i="4" a="1"/>
  <c r="AW73" i="4" s="1"/>
  <c r="AU73" i="4"/>
  <c r="AN75" i="4" l="1"/>
  <c r="AS75" i="4"/>
  <c r="AM75" i="4"/>
  <c r="AR75" i="4"/>
  <c r="AL75" i="4"/>
  <c r="AK76" i="4" s="1"/>
  <c r="AQ75" i="4"/>
  <c r="AV75" i="4"/>
  <c r="AP75" i="4"/>
  <c r="AX75" i="4"/>
  <c r="AJ75" i="4"/>
  <c r="AO75" i="4"/>
  <c r="AT75" i="4"/>
  <c r="AU74" i="4"/>
  <c r="AY74" i="4" a="1"/>
  <c r="AY74" i="4" s="1"/>
  <c r="AW74" i="4" a="1"/>
  <c r="AW74" i="4" s="1"/>
  <c r="AY75" i="4" l="1" a="1"/>
  <c r="AY75" i="4" s="1"/>
  <c r="AW75" i="4" a="1"/>
  <c r="AW75" i="4" s="1"/>
  <c r="AU75" i="4"/>
  <c r="AL76" i="4"/>
  <c r="AK77" i="4" s="1"/>
  <c r="AQ76" i="4"/>
  <c r="AR76" i="4"/>
  <c r="AN76" i="4"/>
  <c r="AP76" i="4"/>
  <c r="AX76" i="4"/>
  <c r="AV76" i="4"/>
  <c r="AT76" i="4"/>
  <c r="AJ76" i="4"/>
  <c r="AO76" i="4"/>
  <c r="AM76" i="4"/>
  <c r="AS76" i="4"/>
  <c r="AU76" i="4" l="1"/>
  <c r="AY76" i="4" a="1"/>
  <c r="AY76" i="4" s="1"/>
  <c r="AW76" i="4" a="1"/>
  <c r="AW76" i="4" s="1"/>
  <c r="AJ77" i="4"/>
  <c r="AO77" i="4"/>
  <c r="AT77" i="4"/>
  <c r="AN77" i="4"/>
  <c r="AS77" i="4"/>
  <c r="AM77" i="4"/>
  <c r="AX77" i="4"/>
  <c r="AR77" i="4"/>
  <c r="AL77" i="4"/>
  <c r="AQ77" i="4"/>
  <c r="AV77" i="4"/>
  <c r="AP77" i="4"/>
  <c r="AY77" i="4" l="1" a="1"/>
  <c r="AY77" i="4" s="1"/>
  <c r="AW77" i="4" a="1"/>
  <c r="AW77" i="4" s="1"/>
  <c r="AU77" i="4"/>
  <c r="AY7" i="4" l="1" a="1"/>
  <c r="AY7" i="4" s="1"/>
  <c r="AY8" i="4" a="1"/>
  <c r="AY8" i="4" s="1"/>
  <c r="AY9" i="4" a="1"/>
  <c r="AY9" i="4" s="1"/>
  <c r="AY10" i="4" a="1"/>
  <c r="AY10" i="4" s="1"/>
  <c r="D291" i="5"/>
  <c r="D350" i="5"/>
  <c r="D349" i="5"/>
  <c r="D348" i="5"/>
  <c r="D347" i="5"/>
  <c r="D346" i="5"/>
  <c r="D345" i="5"/>
  <c r="D344" i="5"/>
  <c r="L59" i="3" s="1"/>
  <c r="M59" i="3" s="1"/>
  <c r="N59" i="3" s="1"/>
  <c r="D343" i="5"/>
  <c r="D342" i="5"/>
  <c r="D341" i="5"/>
  <c r="D340" i="5"/>
  <c r="L55" i="3" s="1"/>
  <c r="M55" i="3" s="1"/>
  <c r="N55" i="3" s="1"/>
  <c r="D339" i="5"/>
  <c r="D338" i="5"/>
  <c r="D337" i="5"/>
  <c r="D336" i="5"/>
  <c r="L51" i="3" s="1"/>
  <c r="M51" i="3" s="1"/>
  <c r="N51" i="3" s="1"/>
  <c r="D335" i="5"/>
  <c r="D334" i="5"/>
  <c r="D333" i="5"/>
  <c r="D332" i="5"/>
  <c r="L47" i="3" s="1"/>
  <c r="M47" i="3" s="1"/>
  <c r="N47" i="3" s="1"/>
  <c r="D331" i="5"/>
  <c r="D330" i="5"/>
  <c r="D329" i="5"/>
  <c r="D328" i="5"/>
  <c r="L43" i="3" s="1"/>
  <c r="M43" i="3" s="1"/>
  <c r="N43" i="3" s="1"/>
  <c r="D327" i="5"/>
  <c r="D326" i="5"/>
  <c r="D325" i="5"/>
  <c r="D324" i="5"/>
  <c r="L39" i="3" s="1"/>
  <c r="M39" i="3" s="1"/>
  <c r="N39" i="3" s="1"/>
  <c r="D323" i="5"/>
  <c r="D322" i="5"/>
  <c r="D321" i="5"/>
  <c r="D320" i="5"/>
  <c r="L35" i="3" s="1"/>
  <c r="M35" i="3" s="1"/>
  <c r="N35" i="3" s="1"/>
  <c r="D319" i="5"/>
  <c r="D318" i="5"/>
  <c r="D317" i="5"/>
  <c r="D316" i="5"/>
  <c r="D315" i="5"/>
  <c r="D314" i="5"/>
  <c r="D313" i="5"/>
  <c r="D312" i="5"/>
  <c r="L27" i="3" s="1"/>
  <c r="M27" i="3" s="1"/>
  <c r="N27" i="3" s="1"/>
  <c r="D311" i="5"/>
  <c r="D310" i="5"/>
  <c r="D309" i="5"/>
  <c r="D308" i="5"/>
  <c r="L23" i="3" s="1"/>
  <c r="M23" i="3" s="1"/>
  <c r="N23" i="3" s="1"/>
  <c r="D307" i="5"/>
  <c r="D306" i="5"/>
  <c r="D305" i="5"/>
  <c r="D304" i="5"/>
  <c r="L19" i="3" s="1"/>
  <c r="M19" i="3" s="1"/>
  <c r="N19" i="3" s="1"/>
  <c r="D303" i="5"/>
  <c r="D302" i="5"/>
  <c r="D301" i="5"/>
  <c r="D300" i="5"/>
  <c r="L15" i="3" s="1"/>
  <c r="M15" i="3" s="1"/>
  <c r="N15" i="3" s="1"/>
  <c r="D299" i="5"/>
  <c r="D298" i="5"/>
  <c r="D297" i="5"/>
  <c r="D296" i="5"/>
  <c r="L11" i="3" s="1"/>
  <c r="M11" i="3" s="1"/>
  <c r="N11" i="3" s="1"/>
  <c r="D295" i="5"/>
  <c r="D294" i="5"/>
  <c r="D293" i="5"/>
  <c r="D292" i="5"/>
  <c r="L7" i="3" s="1"/>
  <c r="M7" i="3" s="1"/>
  <c r="N7" i="3" s="1"/>
  <c r="D247" i="5"/>
  <c r="D199" i="5"/>
  <c r="D151" i="5"/>
  <c r="D103" i="5"/>
  <c r="D55" i="5"/>
  <c r="D275" i="5"/>
  <c r="D259" i="5"/>
  <c r="D243" i="5"/>
  <c r="D227" i="5"/>
  <c r="D211" i="5"/>
  <c r="D195" i="5"/>
  <c r="D179" i="5"/>
  <c r="D163" i="5"/>
  <c r="D147" i="5"/>
  <c r="D131" i="5"/>
  <c r="D115" i="5"/>
  <c r="D99" i="5"/>
  <c r="D83" i="5"/>
  <c r="D67" i="5"/>
  <c r="D51" i="5"/>
  <c r="D35" i="5"/>
  <c r="D19" i="5"/>
  <c r="D263" i="5"/>
  <c r="D215" i="5"/>
  <c r="D167" i="5"/>
  <c r="D119" i="5"/>
  <c r="D71" i="5"/>
  <c r="D287" i="5"/>
  <c r="D271" i="5"/>
  <c r="D255" i="5"/>
  <c r="D239" i="5"/>
  <c r="D223" i="5"/>
  <c r="D207" i="5"/>
  <c r="D191" i="5"/>
  <c r="D175" i="5"/>
  <c r="D159" i="5"/>
  <c r="D143" i="5"/>
  <c r="D127" i="5"/>
  <c r="D111" i="5"/>
  <c r="D95" i="5"/>
  <c r="D79" i="5"/>
  <c r="D63" i="5"/>
  <c r="D47" i="5"/>
  <c r="D31" i="5"/>
  <c r="D15" i="5"/>
  <c r="D279" i="5"/>
  <c r="D231" i="5"/>
  <c r="D183" i="5"/>
  <c r="D135" i="5"/>
  <c r="D87" i="5"/>
  <c r="D39" i="5"/>
  <c r="D23" i="5"/>
  <c r="D283" i="5"/>
  <c r="D267" i="5"/>
  <c r="D251" i="5"/>
  <c r="D235" i="5"/>
  <c r="D219" i="5"/>
  <c r="D203" i="5"/>
  <c r="D187" i="5"/>
  <c r="D171" i="5"/>
  <c r="D155" i="5"/>
  <c r="D139" i="5"/>
  <c r="D123" i="5"/>
  <c r="D107" i="5"/>
  <c r="D91" i="5"/>
  <c r="D75" i="5"/>
  <c r="D59" i="5"/>
  <c r="D43" i="5"/>
  <c r="D27" i="5"/>
  <c r="D11" i="5"/>
  <c r="D7" i="5"/>
  <c r="D3" i="5"/>
  <c r="D290" i="5"/>
  <c r="D286" i="5"/>
  <c r="D282" i="5"/>
  <c r="D278" i="5"/>
  <c r="D274" i="5"/>
  <c r="D270" i="5"/>
  <c r="D266" i="5"/>
  <c r="D262" i="5"/>
  <c r="D258" i="5"/>
  <c r="D254" i="5"/>
  <c r="D250" i="5"/>
  <c r="D246" i="5"/>
  <c r="D242" i="5"/>
  <c r="D238" i="5"/>
  <c r="D234" i="5"/>
  <c r="D230" i="5"/>
  <c r="D226" i="5"/>
  <c r="D222" i="5"/>
  <c r="D218" i="5"/>
  <c r="D214" i="5"/>
  <c r="D210" i="5"/>
  <c r="D206" i="5"/>
  <c r="D202" i="5"/>
  <c r="D198" i="5"/>
  <c r="D194" i="5"/>
  <c r="D190" i="5"/>
  <c r="D186" i="5"/>
  <c r="D182" i="5"/>
  <c r="D178" i="5"/>
  <c r="D174" i="5"/>
  <c r="D170" i="5"/>
  <c r="D166" i="5"/>
  <c r="D162" i="5"/>
  <c r="D158" i="5"/>
  <c r="D154" i="5"/>
  <c r="D150" i="5"/>
  <c r="D146" i="5"/>
  <c r="D142" i="5"/>
  <c r="D138" i="5"/>
  <c r="D134" i="5"/>
  <c r="D130" i="5"/>
  <c r="D126" i="5"/>
  <c r="D122" i="5"/>
  <c r="D118" i="5"/>
  <c r="D114" i="5"/>
  <c r="D110" i="5"/>
  <c r="D106" i="5"/>
  <c r="D102" i="5"/>
  <c r="D98" i="5"/>
  <c r="D94" i="5"/>
  <c r="D90" i="5"/>
  <c r="D86" i="5"/>
  <c r="D82" i="5"/>
  <c r="D78" i="5"/>
  <c r="D74" i="5"/>
  <c r="D70" i="5"/>
  <c r="D66" i="5"/>
  <c r="D62" i="5"/>
  <c r="D58" i="5"/>
  <c r="D54" i="5"/>
  <c r="D50" i="5"/>
  <c r="D46" i="5"/>
  <c r="D42" i="5"/>
  <c r="D38" i="5"/>
  <c r="D34" i="5"/>
  <c r="D30" i="5"/>
  <c r="D26" i="5"/>
  <c r="D22" i="5"/>
  <c r="D18" i="5"/>
  <c r="D14" i="5"/>
  <c r="D10" i="5"/>
  <c r="D6" i="5"/>
  <c r="D289" i="5"/>
  <c r="D285" i="5"/>
  <c r="D281" i="5"/>
  <c r="D277" i="5"/>
  <c r="D273" i="5"/>
  <c r="D269" i="5"/>
  <c r="D265" i="5"/>
  <c r="D261" i="5"/>
  <c r="D257" i="5"/>
  <c r="D253" i="5"/>
  <c r="D249" i="5"/>
  <c r="D245" i="5"/>
  <c r="D241" i="5"/>
  <c r="D237" i="5"/>
  <c r="D233" i="5"/>
  <c r="D229" i="5"/>
  <c r="D225" i="5"/>
  <c r="D221" i="5"/>
  <c r="D217" i="5"/>
  <c r="D213" i="5"/>
  <c r="D209" i="5"/>
  <c r="D205" i="5"/>
  <c r="D201" i="5"/>
  <c r="D197" i="5"/>
  <c r="D193" i="5"/>
  <c r="D189" i="5"/>
  <c r="D185" i="5"/>
  <c r="D181" i="5"/>
  <c r="D177" i="5"/>
  <c r="D173" i="5"/>
  <c r="D169" i="5"/>
  <c r="D165" i="5"/>
  <c r="D161" i="5"/>
  <c r="D157" i="5"/>
  <c r="D153" i="5"/>
  <c r="D149" i="5"/>
  <c r="D145" i="5"/>
  <c r="D141" i="5"/>
  <c r="D137" i="5"/>
  <c r="D133" i="5"/>
  <c r="D129" i="5"/>
  <c r="D125" i="5"/>
  <c r="D121" i="5"/>
  <c r="D117" i="5"/>
  <c r="D113" i="5"/>
  <c r="D109" i="5"/>
  <c r="D105" i="5"/>
  <c r="D101" i="5"/>
  <c r="D97" i="5"/>
  <c r="D93" i="5"/>
  <c r="D89" i="5"/>
  <c r="D85" i="5"/>
  <c r="D81" i="5"/>
  <c r="D77" i="5"/>
  <c r="D73" i="5"/>
  <c r="D69" i="5"/>
  <c r="D65" i="5"/>
  <c r="D61" i="5"/>
  <c r="D57" i="5"/>
  <c r="D53" i="5"/>
  <c r="D49" i="5"/>
  <c r="D45" i="5"/>
  <c r="D41" i="5"/>
  <c r="D37" i="5"/>
  <c r="D33" i="5"/>
  <c r="D29" i="5"/>
  <c r="D25" i="5"/>
  <c r="D21" i="5"/>
  <c r="D17" i="5"/>
  <c r="D13" i="5"/>
  <c r="D9" i="5"/>
  <c r="D5" i="5"/>
  <c r="D288" i="5"/>
  <c r="D284" i="5"/>
  <c r="D280" i="5"/>
  <c r="D276" i="5"/>
  <c r="D272" i="5"/>
  <c r="D268" i="5"/>
  <c r="D264" i="5"/>
  <c r="D260" i="5"/>
  <c r="D256" i="5"/>
  <c r="D252" i="5"/>
  <c r="D248" i="5"/>
  <c r="D244" i="5"/>
  <c r="D240" i="5"/>
  <c r="D236" i="5"/>
  <c r="D232" i="5"/>
  <c r="D228" i="5"/>
  <c r="D224" i="5"/>
  <c r="D220" i="5"/>
  <c r="D216" i="5"/>
  <c r="D212" i="5"/>
  <c r="D208" i="5"/>
  <c r="D204" i="5"/>
  <c r="D200" i="5"/>
  <c r="D196" i="5"/>
  <c r="D192" i="5"/>
  <c r="D188" i="5"/>
  <c r="D184" i="5"/>
  <c r="D180" i="5"/>
  <c r="D176" i="5"/>
  <c r="D172" i="5"/>
  <c r="D168" i="5"/>
  <c r="D164" i="5"/>
  <c r="D160" i="5"/>
  <c r="D156" i="5"/>
  <c r="D152" i="5"/>
  <c r="D148" i="5"/>
  <c r="D144" i="5"/>
  <c r="D140" i="5"/>
  <c r="D136" i="5"/>
  <c r="D132" i="5"/>
  <c r="D128" i="5"/>
  <c r="D124" i="5"/>
  <c r="D120" i="5"/>
  <c r="D116" i="5"/>
  <c r="D112" i="5"/>
  <c r="D108" i="5"/>
  <c r="D104" i="5"/>
  <c r="D100" i="5"/>
  <c r="D96" i="5"/>
  <c r="D92" i="5"/>
  <c r="D88" i="5"/>
  <c r="D84" i="5"/>
  <c r="D80" i="5"/>
  <c r="D76" i="5"/>
  <c r="D72" i="5"/>
  <c r="D68" i="5"/>
  <c r="D64" i="5"/>
  <c r="D60" i="5"/>
  <c r="D56" i="5"/>
  <c r="D52" i="5"/>
  <c r="D48" i="5"/>
  <c r="D44" i="5"/>
  <c r="D40" i="5"/>
  <c r="D36" i="5"/>
  <c r="D32" i="5"/>
  <c r="D28" i="5"/>
  <c r="D24" i="5"/>
  <c r="D20" i="5"/>
  <c r="D16" i="5"/>
  <c r="D8" i="5"/>
  <c r="D4" i="5"/>
  <c r="D351" i="5"/>
  <c r="D12" i="5"/>
  <c r="L31" i="3" l="1"/>
  <c r="M31" i="3" s="1"/>
  <c r="N31" i="3" s="1"/>
  <c r="L10" i="3"/>
  <c r="M10" i="3" s="1"/>
  <c r="N10" i="3" s="1"/>
  <c r="L14" i="3"/>
  <c r="M14" i="3" s="1"/>
  <c r="N14" i="3" s="1"/>
  <c r="L18" i="3"/>
  <c r="M18" i="3" s="1"/>
  <c r="N18" i="3" s="1"/>
  <c r="L22" i="3"/>
  <c r="M22" i="3" s="1"/>
  <c r="N22" i="3" s="1"/>
  <c r="L26" i="3"/>
  <c r="M26" i="3" s="1"/>
  <c r="N26" i="3" s="1"/>
  <c r="L30" i="3"/>
  <c r="M30" i="3" s="1"/>
  <c r="N30" i="3" s="1"/>
  <c r="L34" i="3"/>
  <c r="M34" i="3" s="1"/>
  <c r="N34" i="3" s="1"/>
  <c r="L38" i="3"/>
  <c r="M38" i="3" s="1"/>
  <c r="N38" i="3" s="1"/>
  <c r="L42" i="3"/>
  <c r="M42" i="3" s="1"/>
  <c r="N42" i="3" s="1"/>
  <c r="L46" i="3"/>
  <c r="M46" i="3" s="1"/>
  <c r="N46" i="3" s="1"/>
  <c r="L50" i="3"/>
  <c r="M50" i="3" s="1"/>
  <c r="N50" i="3" s="1"/>
  <c r="L54" i="3"/>
  <c r="M54" i="3" s="1"/>
  <c r="N54" i="3" s="1"/>
  <c r="L58" i="3"/>
  <c r="M58" i="3" s="1"/>
  <c r="N58" i="3" s="1"/>
  <c r="L63" i="3"/>
  <c r="M63" i="3" s="1"/>
  <c r="N63" i="3" s="1"/>
  <c r="L8" i="3"/>
  <c r="M8" i="3" s="1"/>
  <c r="N8" i="3" s="1"/>
  <c r="L12" i="3"/>
  <c r="M12" i="3" s="1"/>
  <c r="N12" i="3" s="1"/>
  <c r="L16" i="3"/>
  <c r="M16" i="3" s="1"/>
  <c r="N16" i="3" s="1"/>
  <c r="L20" i="3"/>
  <c r="M20" i="3" s="1"/>
  <c r="N20" i="3" s="1"/>
  <c r="L24" i="3"/>
  <c r="M24" i="3" s="1"/>
  <c r="N24" i="3" s="1"/>
  <c r="L28" i="3"/>
  <c r="M28" i="3" s="1"/>
  <c r="N28" i="3" s="1"/>
  <c r="L32" i="3"/>
  <c r="M32" i="3" s="1"/>
  <c r="N32" i="3" s="1"/>
  <c r="L36" i="3"/>
  <c r="M36" i="3" s="1"/>
  <c r="N36" i="3" s="1"/>
  <c r="L40" i="3"/>
  <c r="M40" i="3" s="1"/>
  <c r="N40" i="3" s="1"/>
  <c r="L44" i="3"/>
  <c r="M44" i="3" s="1"/>
  <c r="N44" i="3" s="1"/>
  <c r="L48" i="3"/>
  <c r="M48" i="3" s="1"/>
  <c r="N48" i="3" s="1"/>
  <c r="L52" i="3"/>
  <c r="M52" i="3" s="1"/>
  <c r="N52" i="3" s="1"/>
  <c r="L56" i="3"/>
  <c r="M56" i="3" s="1"/>
  <c r="N56" i="3" s="1"/>
  <c r="L60" i="3"/>
  <c r="M60" i="3" s="1"/>
  <c r="N60" i="3" s="1"/>
  <c r="L64" i="3"/>
  <c r="M64" i="3" s="1"/>
  <c r="N64" i="3" s="1"/>
  <c r="L9" i="3"/>
  <c r="M9" i="3" s="1"/>
  <c r="N9" i="3" s="1"/>
  <c r="L13" i="3"/>
  <c r="M13" i="3" s="1"/>
  <c r="N13" i="3" s="1"/>
  <c r="L17" i="3"/>
  <c r="M17" i="3" s="1"/>
  <c r="N17" i="3" s="1"/>
  <c r="L21" i="3"/>
  <c r="M21" i="3" s="1"/>
  <c r="N21" i="3" s="1"/>
  <c r="L25" i="3"/>
  <c r="M25" i="3" s="1"/>
  <c r="N25" i="3" s="1"/>
  <c r="L29" i="3"/>
  <c r="M29" i="3" s="1"/>
  <c r="N29" i="3" s="1"/>
  <c r="L33" i="3"/>
  <c r="M33" i="3" s="1"/>
  <c r="N33" i="3" s="1"/>
  <c r="L37" i="3"/>
  <c r="M37" i="3" s="1"/>
  <c r="N37" i="3" s="1"/>
  <c r="L41" i="3"/>
  <c r="M41" i="3" s="1"/>
  <c r="N41" i="3" s="1"/>
  <c r="L45" i="3"/>
  <c r="M45" i="3" s="1"/>
  <c r="N45" i="3" s="1"/>
  <c r="L49" i="3"/>
  <c r="M49" i="3" s="1"/>
  <c r="N49" i="3" s="1"/>
  <c r="L53" i="3"/>
  <c r="M53" i="3" s="1"/>
  <c r="N53" i="3" s="1"/>
  <c r="L57" i="3"/>
  <c r="M57" i="3" s="1"/>
  <c r="N57" i="3" s="1"/>
  <c r="L61" i="3"/>
  <c r="M61" i="3" s="1"/>
  <c r="N61" i="3" s="1"/>
  <c r="L65" i="3"/>
  <c r="M65" i="3" s="1"/>
  <c r="N65" i="3" s="1"/>
  <c r="L62" i="3"/>
  <c r="M62" i="3" s="1"/>
  <c r="N62" i="3" s="1"/>
  <c r="L6" i="3"/>
  <c r="I6" i="3" l="1"/>
  <c r="K6" i="3" s="1"/>
  <c r="M6" i="3" l="1"/>
  <c r="M78" i="3" s="1"/>
  <c r="B28" i="3" s="1"/>
  <c r="B27" i="3"/>
  <c r="N6" i="3" l="1"/>
  <c r="N78" i="3" s="1"/>
  <c r="B29" i="3" s="1"/>
  <c r="N81" i="3" l="1"/>
  <c r="B30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Gilberto Braga</author>
  </authors>
  <commentList>
    <comment ref="C9" authorId="0" shapeId="0" xr:uid="{9194BE0F-2EB0-4A58-BFAE-63AFA7452233}">
      <text>
        <r>
          <rPr>
            <b/>
            <sz val="9"/>
            <color indexed="81"/>
            <rFont val="Segoe UI"/>
            <family val="2"/>
          </rPr>
          <t>Data de admissão do reclamante (CTPS).
Base: CLT, art. 29 – anotação da CTPS pelo empregador.</t>
        </r>
      </text>
    </comment>
    <comment ref="C10" authorId="0" shapeId="0" xr:uid="{E463D160-CDC0-42A9-A421-766B5CCA10EF}">
      <text>
        <r>
          <rPr>
            <b/>
            <sz val="9"/>
            <color indexed="81"/>
            <rFont val="Segoe UI"/>
            <family val="2"/>
          </rPr>
          <t>Data de dispensa / afastamento do empregado (último dia trabalhado).
Base: CLT, art. 477.</t>
        </r>
      </text>
    </comment>
    <comment ref="C11" authorId="0" shapeId="0" xr:uid="{589EBF80-B8B2-488A-895A-017B61EE2297}">
      <text>
        <r>
          <rPr>
            <b/>
            <sz val="9"/>
            <color indexed="81"/>
            <rFont val="Segoe UI"/>
            <family val="2"/>
          </rPr>
          <t>Data do ajuizamento da reclamação trabalhista (ou data prevista, se ainda não ajuizada).
Marco para contagem da prescrição quinquenal (CF, art. 7º, XXIX).</t>
        </r>
      </text>
    </comment>
    <comment ref="C12" authorId="0" shapeId="0" xr:uid="{6F4E8A3D-994D-4573-9B27-1A9EFB4CA0DC}">
      <text>
        <r>
          <rPr>
            <b/>
            <sz val="9"/>
            <color indexed="81"/>
            <rFont val="Segoe UI"/>
            <family val="2"/>
          </rPr>
          <t>Marco prescricional – calculado automaticamente.
Regra: prescrição quinquenal (CF, art. 7º, XXIX) – limita o crédito aos 5 anos anteriores ao ajuizamento. Se a admissão for posterior, prevalece a admissão.
NÃO EDITAR.</t>
        </r>
      </text>
    </comment>
    <comment ref="C13" authorId="0" shapeId="0" xr:uid="{205C1374-23AF-4895-BF10-52AB98F317DC}">
      <text>
        <r>
          <rPr>
            <b/>
            <sz val="9"/>
            <color indexed="81"/>
            <rFont val="Segoe UI"/>
            <family val="2"/>
          </rPr>
          <t>Data de início do cálculo (mês de exigibilidade).
Primeiro dia do mês a partir do qual as parcelas serão computadas. Calculada com base na prescrição.
NÃO EDITAR.</t>
        </r>
      </text>
    </comment>
    <comment ref="C15" authorId="0" shapeId="0" xr:uid="{23587B1D-AA14-463F-BADC-59BBA1CA1AB0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Base de cálculo do adicional de insalubridade.
Súmula Vinculante 4 do STF: o salário mínimo só pode ser usado até que sobrevenha lei, norma coletiva ou decisão judicial fixando outra base. Na prática, o TST mantém o salário mínimo como base (Súmula 228 TST – com eficácia suspensa pelo STF, mas seguida pela jurisprudência majoritária).
Se houver norma coletiva ou sentença que fixe outra base (ex.: salário contratual), altere para 'Vencimento Básico'.</t>
        </r>
      </text>
    </comment>
    <comment ref="C16" authorId="0" shapeId="0" xr:uid="{4C4A8C28-4A9B-40A8-9098-2EAF842FB9F7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Percentual de insalubridade pleiteado.
Grau mínimo: 10% · Grau médio: 20% · Grau máximo: 40%.
Base: CLT, art. 192.</t>
        </r>
      </text>
    </comment>
    <comment ref="C17" authorId="0" shapeId="0" xr:uid="{A0277AA4-F5C6-4BF5-A433-F19F293156B8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Percentual de insalubridade efetivamente pago pela reclamada (se houver).
Usado para apurar diferenças devidas.</t>
        </r>
      </text>
    </comment>
    <comment ref="C18" authorId="0" shapeId="0" xr:uid="{8028120A-20D9-45F0-849A-484324FBA5C7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Percentual de FGTS sobre as verbas devidas.
Padrão: 8% (Lei 8.036/90, art. 15) + 3,2% de multa rescisória nos casos cabíveis = 11,2%.
Ajuste conforme o tipo de rescisão.</t>
        </r>
      </text>
    </comment>
    <comment ref="C19" authorId="0" shapeId="0" xr:uid="{56B56EC1-1392-4607-A02E-48FD5A3B50B7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Índice de correção monetária aplicado.
1 = TR (até 24/03/2015)
2 = TR/IPCA-E desde 25/03/2015 (entendimento histórico do TST)
3 = IPCA-E
4 = SELIC simples (Tema 1.191 STF / ADCs 58 e 59 – aplicável após o ajuizamento, com IPCA-E na fase pré-judicial)
O Tema 1.191 (STF) consagrou: IPCA-E + juros TR na fase pré-judicial e SELIC após a citação.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Gilberto Braga</author>
  </authors>
  <commentList>
    <comment ref="D4" authorId="0" shapeId="0" xr:uid="{EB665265-5136-44E2-88A5-43869B58CE46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Mês de competência da parcela. Avança de mês em mês, partindo da data de exigibilidade (Dados!C13) até a dispensa.</t>
        </r>
      </text>
    </comment>
    <comment ref="E4" authorId="0" shapeId="0" xr:uid="{62EBDE83-005C-475D-9926-0744D7C6432B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Salário mínimo vigente no mês.
Buscado por VLOOKUP na tabela 'tabela_minimo' (aba Salário Mínimo).</t>
        </r>
      </text>
    </comment>
    <comment ref="F4" authorId="0" shapeId="0" xr:uid="{0EABDF99-2396-4993-96A3-AFBBD865AA8C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Adicional de insalubridade devido = Salário Mínimo × % pleiteado.
Base: CLT, art. 192.</t>
        </r>
      </text>
    </comment>
    <comment ref="G4" authorId="0" shapeId="0" xr:uid="{58B93041-4F19-48B1-9289-730FC89C776A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13º salário (gratificação natalina) sobre a insalubridade.
Lançado em dezembro pelo valor integral; no mês da dispensa, lançado proporcionalmente (n/12).
Base: Lei 4.090/62 e Súmula 139 TST – integração do adicional ao 13º.</t>
        </r>
      </text>
    </comment>
    <comment ref="H4" authorId="0" shapeId="0" xr:uid="{A7BCD8CD-0F45-40FC-9593-3DFF13880DFC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Terço constitucional de férias sobre a insalubridade = 11,11% (1/3 ÷ 12 × 4 = 11,11% – considerando férias + 1/3, mensalizado).
Base: CF, art. 7º, XVII e Súmula 139 TST – integração do adicional às férias.</t>
        </r>
      </text>
    </comment>
    <comment ref="I4" authorId="0" shapeId="0" xr:uid="{7D7D8455-6AEC-4C15-819C-64E19BC2A67F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Soma das verbas do mês: insalubridade + 13º + terço de férias.</t>
        </r>
      </text>
    </comment>
    <comment ref="J4" authorId="0" shapeId="0" xr:uid="{715891CB-8BB6-49CB-BFD4-282CC76E1A74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Adicional de insalubridade efetivamente pago pela reclamada no mês = Salário Mínimo × % pago (Dados!C17).</t>
        </r>
      </text>
    </comment>
    <comment ref="K4" authorId="0" shapeId="0" xr:uid="{EAF3B0C1-E138-4A4C-945A-A993B0FEF613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Diferenças devidas no mês = SOMA – Insalubridade paga.</t>
        </r>
      </text>
    </comment>
    <comment ref="L4" authorId="0" shapeId="0" xr:uid="{82865F75-E261-47F4-94D1-1B501127FFDA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Fator de correção monetária do mês, conforme índice escolhido em Dados!C19.
Obtido por LOOKUP na tabela da aba Correção Monetária.</t>
        </r>
      </text>
    </comment>
    <comment ref="M4" authorId="0" shapeId="0" xr:uid="{EC924C9E-9D0A-44DB-B86A-19B82496B0E1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Valor corrigido = Diferenças devidas × Fator de correção.</t>
        </r>
      </text>
    </comment>
    <comment ref="N4" authorId="0" shapeId="0" xr:uid="{88E7D46D-D55E-4EAA-A255-ED51B7A07171}">
      <text>
        <r>
          <rPr>
            <b/>
            <sz val="9"/>
            <color indexed="81"/>
            <rFont val="Segoe UI"/>
            <family val="2"/>
          </rPr>
          <t>Gilberto Braga:</t>
        </r>
        <r>
          <rPr>
            <sz val="9"/>
            <color indexed="81"/>
            <rFont val="Segoe UI"/>
            <family val="2"/>
          </rPr>
          <t xml:space="preserve">
FGTS sobre o valor corrigido = Valor corrigido × % FGTS (Dados!C18).
Base: Lei 8.036/90.</t>
        </r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<sst xmlns="http://schemas.openxmlformats.org/spreadsheetml/2006/main" count="491" uniqueCount="83">
  <si>
    <t xml:space="preserve">Cálculo do Adicional de Insalubridade </t>
  </si>
  <si>
    <t>Época</t>
  </si>
  <si>
    <t>Sal. Mínimo</t>
  </si>
  <si>
    <t>Adicional de Insalubridade</t>
  </si>
  <si>
    <t>MÊS/ANO</t>
  </si>
  <si>
    <t>MOEDA</t>
  </si>
  <si>
    <t>SAL. MÍNIMO</t>
  </si>
  <si>
    <t>CR$</t>
  </si>
  <si>
    <t>R$</t>
  </si>
  <si>
    <t>Insalu-bridade</t>
  </si>
  <si>
    <t>13º Sal.</t>
  </si>
  <si>
    <t>Terço de Férias</t>
  </si>
  <si>
    <t>SOMA</t>
  </si>
  <si>
    <t>FGTS</t>
  </si>
  <si>
    <t>Total:</t>
  </si>
  <si>
    <t>TOTAL + FGTS:</t>
  </si>
  <si>
    <t>Insalu-bridade paga</t>
  </si>
  <si>
    <t>Diferenças Devidas</t>
  </si>
  <si>
    <t>Atualização até:</t>
  </si>
  <si>
    <t>Divisor</t>
  </si>
  <si>
    <t>Ad. He 2</t>
  </si>
  <si>
    <t>Ad. Dom/Fer</t>
  </si>
  <si>
    <t>Processo:</t>
  </si>
  <si>
    <t>Tabela auxiliar</t>
  </si>
  <si>
    <t>Reclamante:</t>
  </si>
  <si>
    <t>Fim</t>
  </si>
  <si>
    <t>Reclamada:</t>
  </si>
  <si>
    <t>Comercial Arapiraca Ltda</t>
  </si>
  <si>
    <t>=SE(AP6="";"";SOMARPRODUTO((DIA.DA.SEMANA(LIN(INDIRETO(AQ6&amp;":"&amp;AR6));2)&lt;7)*(CONT.SE(fer_1;LIN(INDIRETO(AQ6&amp;":"&amp;AR6)))=0)))</t>
  </si>
  <si>
    <t>Vara do Trabalho:</t>
  </si>
  <si>
    <t>2ª Vara do Trabalho de Foz do Iguaçu</t>
  </si>
  <si>
    <t>CONTRATO TRABALHO</t>
  </si>
  <si>
    <t>Admissão:</t>
  </si>
  <si>
    <t>Afastamento:</t>
  </si>
  <si>
    <t>Ajuizamento:</t>
  </si>
  <si>
    <t>Prescrição:</t>
  </si>
  <si>
    <t>Parametros Cálculo</t>
  </si>
  <si>
    <t>TR</t>
  </si>
  <si>
    <t>IPCA-E</t>
  </si>
  <si>
    <t>Correção Monetária:</t>
  </si>
  <si>
    <t>1ª Vara do Trabalho de Foz do Iguaçu</t>
  </si>
  <si>
    <t>3ª Vara do Trabalho de Foz do Iguaçu</t>
  </si>
  <si>
    <t>Exigibilidade:</t>
  </si>
  <si>
    <t>Base de cálculo</t>
  </si>
  <si>
    <t>Insalubridade Pleiteada</t>
  </si>
  <si>
    <t>Insalubridade Paga</t>
  </si>
  <si>
    <t>Francisco Raimundo Nonato</t>
  </si>
  <si>
    <t>Tabela</t>
  </si>
  <si>
    <t>Data</t>
  </si>
  <si>
    <t>Índice</t>
  </si>
  <si>
    <t>Moeda</t>
  </si>
  <si>
    <t>SELIC SIMPLES</t>
  </si>
  <si>
    <t>TR / IPCA-E 03/2015</t>
  </si>
  <si>
    <t>SELIC Simples</t>
  </si>
  <si>
    <t>Correção Monetária</t>
  </si>
  <si>
    <t>Mês Sub</t>
  </si>
  <si>
    <t>Valor Corrigido</t>
  </si>
  <si>
    <t>Perc. FGTS</t>
  </si>
  <si>
    <t>TR/IPCA-E 03/2015</t>
  </si>
  <si>
    <t>Tabela com Valores do Salário Mínimo Desde 1994</t>
  </si>
  <si>
    <t>DADOS DO PROCESSO 03/05/2022 :</t>
  </si>
  <si>
    <t>Salário mínimo</t>
  </si>
  <si>
    <t>0000XXX-XX.2021.5.09.0658</t>
  </si>
  <si>
    <t>DADOS DO PROCESSO</t>
  </si>
  <si>
    <t>Vara:</t>
  </si>
  <si>
    <t>PERÍODO</t>
  </si>
  <si>
    <t>Dispensa:</t>
  </si>
  <si>
    <t>Atualização:</t>
  </si>
  <si>
    <t>PARÂMETROS</t>
  </si>
  <si>
    <t>Base:</t>
  </si>
  <si>
    <t>% Insalubridade:</t>
  </si>
  <si>
    <t>% Insal. Paga:</t>
  </si>
  <si>
    <t>% FGTS:</t>
  </si>
  <si>
    <t>RESUMO EXECUTIVO</t>
  </si>
  <si>
    <t>Insalubridade devida:</t>
  </si>
  <si>
    <t>13º proporcional:</t>
  </si>
  <si>
    <t>Férias + 1/3:</t>
  </si>
  <si>
    <t>(–) Já pago:</t>
  </si>
  <si>
    <t>Diferenças nominais:</t>
  </si>
  <si>
    <t>Total corrigido:</t>
  </si>
  <si>
    <t>(+) FGTS:</t>
  </si>
  <si>
    <t>TOTAL GERAL:</t>
  </si>
  <si>
    <t>↑ topo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</si>
</sst>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7" formatCode="&quot;R$&quot;\ #,##0.00;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mmm/yyyy"/>
    <numFmt numFmtId="165" formatCode="dddd"/>
    <numFmt numFmtId="166" formatCode="dd"/>
    <numFmt numFmtId="167" formatCode="mmmm"/>
    <numFmt numFmtId="168" formatCode="yyyy"/>
    <numFmt numFmtId="169" formatCode="ddd"/>
    <numFmt numFmtId="170" formatCode="0.000000000"/>
    <numFmt numFmtId="171" formatCode="_(* #,##0.00_);_(* \(#,##0.00\);_(* \-??_);_(@_)"/>
    <numFmt numFmtId="172" formatCode="_-* #,##0.000000_-;\-* #,##0.000000_-;_-* &quot;-&quot;??????_-;_-@_-"/>
    <numFmt numFmtId="173" formatCode="_-* #,##0.00000000_-;\-* #,##0.00000000_-;_-* &quot;-&quot;????????_-;_-@_-"/>
    <numFmt numFmtId="174" formatCode="_(* #,##0.00_);_(* \(#,##0.00\);_(* &quot;-&quot;??_);_(@_)"/>
    <numFmt numFmtId="175" formatCode="[$R$-416]\ #,##0.00;[Red]\([$R$-416]\ #,##0.00\);\-"/>
  </numFmts>
  <fonts count="48" x14ac:knownFonts="1">
    <font>
      <sz val="10"/>
      <name val="Arial"/>
      <family val="2"/>
    </font>
    <font>
      <b/>
      <sz val="11"/>
      <name val="Calibri"/>
      <family val="2"/>
      <scheme val="minor"/>
    </font>
    <font>
      <b/>
      <i/>
      <sz val="12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indexed="8"/>
      <name val="MS Sans Serif"/>
    </font>
    <font>
      <sz val="10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b/>
      <sz val="12"/>
      <color theme="0"/>
      <name val="Century Gothic"/>
      <family val="2"/>
    </font>
    <font>
      <b/>
      <sz val="10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theme="0"/>
      <name val="Century Gothic"/>
      <family val="2"/>
    </font>
    <font>
      <b/>
      <sz val="11"/>
      <color theme="0"/>
      <name val="Calibri"/>
      <family val="2"/>
      <scheme val="minor"/>
    </font>
    <font>
      <b/>
      <sz val="36"/>
      <color theme="0"/>
      <name val="Calibri"/>
      <family val="2"/>
      <scheme val="minor"/>
    </font>
    <font>
      <b/>
      <sz val="10"/>
      <color rgb="FFFFFF00"/>
      <name val="Calibri"/>
      <family val="2"/>
      <scheme val="minor"/>
    </font>
    <font>
      <b/>
      <u/>
      <sz val="10"/>
      <color theme="0"/>
      <name val="Century Gothic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rgb="FFFFFF00"/>
      <name val="Calibri"/>
      <family val="2"/>
      <scheme val="minor"/>
    </font>
    <font>
      <b/>
      <u/>
      <sz val="12"/>
      <color theme="0"/>
      <name val="Century Gothic"/>
      <family val="2"/>
    </font>
    <font>
      <sz val="26"/>
      <color theme="1"/>
      <name val="Calibri"/>
      <family val="2"/>
      <scheme val="minor"/>
    </font>
    <font>
      <b/>
      <u/>
      <sz val="18"/>
      <color theme="0"/>
      <name val="Calibri"/>
      <family val="2"/>
      <scheme val="minor"/>
    </font>
    <font>
      <b/>
      <sz val="14"/>
      <color theme="1"/>
      <name val="Bookman Old Style"/>
      <family val="1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u/>
      <sz val="10"/>
      <color theme="10"/>
      <name val="Arial"/>
      <family val="2"/>
    </font>
    <font>
      <b/>
      <i/>
      <sz val="14"/>
      <name val="Calibri"/>
      <family val="2"/>
      <scheme val="minor"/>
    </font>
    <font>
      <sz val="10"/>
      <name val="Calibri"/>
      <family val="2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1F4E78"/>
      <name val="Calibri"/>
      <family val="2"/>
    </font>
    <font>
      <sz val="10"/>
      <color rgb="FF404040"/>
      <name val="Calibri"/>
      <family val="2"/>
    </font>
    <font>
      <b/>
      <sz val="11"/>
      <color rgb="FF000000"/>
      <name val="Calibri"/>
      <family val="2"/>
    </font>
    <font>
      <b/>
      <sz val="13"/>
      <color rgb="FFFFFFFF"/>
      <name val="Calibri"/>
      <family val="2"/>
      <scheme val="minor"/>
    </font>
    <font>
      <b/>
      <sz val="13"/>
      <color rgb="FF1F4E78"/>
      <name val="Calibri"/>
      <family val="2"/>
      <scheme val="minor"/>
    </font>
    <font>
      <b/>
      <sz val="11"/>
      <color rgb="FFC00000"/>
      <name val="Calibri"/>
      <family val="2"/>
    </font>
    <font>
      <b/>
      <sz val="10"/>
      <color rgb="FF404040"/>
      <name val="Calibri"/>
      <family val="2"/>
    </font>
    <font>
      <b/>
      <sz val="12"/>
      <color rgb="FFFFFFFF"/>
      <name val="Calibri"/>
      <family val="2"/>
    </font>
    <font>
      <b/>
      <sz val="12"/>
      <color rgb="FF1F4E78"/>
      <name val="Calibri"/>
      <family val="2"/>
    </font>
    <font>
      <i/>
      <u/>
      <sz val="10"/>
      <color rgb="FF1F4E78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1F4E78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FDE7"/>
        <bgColor indexed="64"/>
      </patternFill>
    </fill>
  </fills>
  <borders count="8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/>
      <top style="medium">
        <color theme="0"/>
      </top>
      <bottom style="thin">
        <color theme="0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thin">
        <color theme="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thin">
        <color theme="0"/>
      </top>
      <bottom/>
      <diagonal/>
    </border>
    <border>
      <left style="medium">
        <color theme="0"/>
      </left>
      <right/>
      <top style="medium">
        <color theme="0"/>
      </top>
      <bottom style="thin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/>
      <right style="medium">
        <color auto="1"/>
      </right>
      <top style="medium">
        <color theme="0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9BC2E6"/>
      </left>
      <right/>
      <top style="thin">
        <color rgb="FF9BC2E6"/>
      </top>
      <bottom/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9BC2E6"/>
      </left>
      <right style="thin">
        <color rgb="FF9BC2E6"/>
      </right>
      <top style="thin">
        <color rgb="FF9BC2E6"/>
      </top>
      <bottom/>
      <diagonal/>
    </border>
    <border>
      <left style="thin">
        <color rgb="FFD9D9D9"/>
      </left>
      <right/>
      <top style="thin">
        <color rgb="FFD9D9D9"/>
      </top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/>
      <diagonal/>
    </border>
    <border>
      <left style="medium">
        <color rgb="FF1F4E78"/>
      </left>
      <right style="medium">
        <color rgb="FF1F4E78"/>
      </right>
      <top style="medium">
        <color rgb="FF1F4E78"/>
      </top>
      <bottom style="medium">
        <color rgb="FF1F4E78"/>
      </bottom>
      <diagonal/>
    </border>
    <border>
      <left style="medium">
        <color rgb="FF1F4E78"/>
      </left>
      <right/>
      <top style="medium">
        <color rgb="FF1F4E78"/>
      </top>
      <bottom style="medium">
        <color rgb="FF1F4E78"/>
      </bottom>
      <diagonal/>
    </border>
    <border>
      <left style="thin">
        <color rgb="FFD9D9D9"/>
      </left>
      <right/>
      <top style="medium">
        <color rgb="FF1F4E78"/>
      </top>
      <bottom/>
      <diagonal/>
    </border>
    <border>
      <left style="thin">
        <color rgb="FFD9D9D9"/>
      </left>
      <right style="thin">
        <color rgb="FFD9D9D9"/>
      </right>
      <top style="medium">
        <color rgb="FF1F4E78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auto="1"/>
      </left>
      <right/>
      <top/>
      <bottom style="thin">
        <color rgb="FF1F4E78"/>
      </bottom>
      <diagonal/>
    </border>
    <border>
      <left style="thin">
        <color auto="1"/>
      </left>
      <right style="thin">
        <color auto="1"/>
      </right>
      <top/>
      <bottom style="thin">
        <color rgb="FF1F4E78"/>
      </bottom>
      <diagonal/>
    </border>
  </borders>
  <cellStyleXfs count="8">
    <xf numFmtId="0" fontId="0" fillId="0" borderId="0"/>
    <xf numFmtId="0" fontId="4" fillId="0" borderId="0"/>
    <xf numFmtId="0" fontId="7" fillId="0" borderId="0"/>
    <xf numFmtId="0" fontId="10" fillId="0" borderId="0"/>
    <xf numFmtId="0" fontId="15" fillId="3" borderId="0" applyNumberFormat="0" applyBorder="0" applyAlignment="0" applyProtection="0"/>
    <xf numFmtId="171" fontId="9" fillId="0" borderId="0" applyFill="0" applyBorder="0" applyAlignment="0" applyProtection="0"/>
    <xf numFmtId="174" fontId="9" fillId="0" borderId="0" applyFont="0" applyFill="0" applyBorder="0" applyAlignment="0" applyProtection="0"/>
    <xf numFmtId="0" fontId="32" fillId="0" borderId="0" applyNumberFormat="0" applyFill="0" applyBorder="0" applyAlignment="0" applyProtection="0"/>
  </cellStyleXfs>
  <cellXfs count="235">
    <xf numFmtId="0" fontId="0" fillId="0" borderId="0" xfId="0"/>
    <xf numFmtId="9" fontId="3" fillId="2" borderId="9" xfId="0" applyNumberFormat="1" applyFont="1" applyFill="1" applyBorder="1"/>
    <xf numFmtId="164" fontId="6" fillId="0" borderId="10" xfId="0" applyNumberFormat="1" applyFont="1" applyBorder="1"/>
    <xf numFmtId="43" fontId="6" fillId="0" borderId="10" xfId="0" applyNumberFormat="1" applyFont="1" applyBorder="1"/>
    <xf numFmtId="164" fontId="6" fillId="0" borderId="11" xfId="0" applyNumberFormat="1" applyFont="1" applyBorder="1"/>
    <xf numFmtId="43" fontId="6" fillId="0" borderId="11" xfId="0" applyNumberFormat="1" applyFont="1" applyBorder="1"/>
    <xf numFmtId="164" fontId="6" fillId="0" borderId="12" xfId="0" applyNumberFormat="1" applyFont="1" applyBorder="1"/>
    <xf numFmtId="43" fontId="6" fillId="0" borderId="12" xfId="0" applyNumberFormat="1" applyFont="1" applyBorder="1"/>
    <xf numFmtId="164" fontId="0" fillId="0" borderId="0" xfId="0" applyNumberFormat="1"/>
    <xf numFmtId="43" fontId="6" fillId="0" borderId="10" xfId="0" quotePrefix="1" applyNumberFormat="1" applyFont="1" applyBorder="1"/>
    <xf numFmtId="0" fontId="6" fillId="0" borderId="0" xfId="0" applyFont="1"/>
    <xf numFmtId="14" fontId="6" fillId="0" borderId="0" xfId="0" applyNumberFormat="1" applyFont="1"/>
    <xf numFmtId="10" fontId="6" fillId="0" borderId="0" xfId="0" applyNumberFormat="1" applyFont="1"/>
    <xf numFmtId="9" fontId="6" fillId="0" borderId="0" xfId="0" applyNumberFormat="1" applyFont="1"/>
    <xf numFmtId="0" fontId="10" fillId="4" borderId="0" xfId="3" applyFill="1"/>
    <xf numFmtId="0" fontId="10" fillId="0" borderId="0" xfId="3"/>
    <xf numFmtId="0" fontId="11" fillId="0" borderId="0" xfId="3" applyFont="1" applyAlignment="1">
      <alignment vertical="center"/>
    </xf>
    <xf numFmtId="0" fontId="11" fillId="0" borderId="0" xfId="3" applyFont="1"/>
    <xf numFmtId="0" fontId="10" fillId="5" borderId="0" xfId="3" applyFill="1"/>
    <xf numFmtId="0" fontId="13" fillId="5" borderId="17" xfId="3" applyFont="1" applyFill="1" applyBorder="1" applyAlignment="1">
      <alignment horizontal="right" vertical="center" indent="1"/>
    </xf>
    <xf numFmtId="14" fontId="10" fillId="0" borderId="0" xfId="3" applyNumberFormat="1" applyAlignment="1">
      <alignment horizontal="centerContinuous"/>
    </xf>
    <xf numFmtId="0" fontId="15" fillId="5" borderId="22" xfId="3" applyFont="1" applyFill="1" applyBorder="1" applyAlignment="1">
      <alignment horizontal="center" vertical="center"/>
    </xf>
    <xf numFmtId="0" fontId="15" fillId="5" borderId="23" xfId="3" applyFont="1" applyFill="1" applyBorder="1" applyAlignment="1">
      <alignment horizontal="center" vertical="center"/>
    </xf>
    <xf numFmtId="0" fontId="15" fillId="0" borderId="0" xfId="3" applyFont="1" applyAlignment="1">
      <alignment horizontal="center" vertical="center"/>
    </xf>
    <xf numFmtId="0" fontId="13" fillId="5" borderId="24" xfId="3" applyFont="1" applyFill="1" applyBorder="1" applyAlignment="1">
      <alignment horizontal="right" vertical="center" indent="1"/>
    </xf>
    <xf numFmtId="0" fontId="18" fillId="0" borderId="0" xfId="4" applyFont="1" applyFill="1" applyBorder="1"/>
    <xf numFmtId="9" fontId="10" fillId="0" borderId="25" xfId="3" applyNumberFormat="1" applyBorder="1"/>
    <xf numFmtId="9" fontId="10" fillId="0" borderId="26" xfId="3" applyNumberFormat="1" applyBorder="1"/>
    <xf numFmtId="9" fontId="10" fillId="0" borderId="0" xfId="3" applyNumberFormat="1"/>
    <xf numFmtId="0" fontId="13" fillId="5" borderId="30" xfId="3" applyFont="1" applyFill="1" applyBorder="1" applyAlignment="1">
      <alignment horizontal="right" vertical="center" indent="1"/>
    </xf>
    <xf numFmtId="9" fontId="10" fillId="0" borderId="13" xfId="3" applyNumberFormat="1" applyBorder="1"/>
    <xf numFmtId="9" fontId="10" fillId="0" borderId="31" xfId="3" applyNumberFormat="1" applyBorder="1"/>
    <xf numFmtId="0" fontId="10" fillId="6" borderId="32" xfId="3" applyFill="1" applyBorder="1"/>
    <xf numFmtId="164" fontId="10" fillId="6" borderId="33" xfId="3" applyNumberFormat="1" applyFill="1" applyBorder="1"/>
    <xf numFmtId="0" fontId="10" fillId="6" borderId="34" xfId="3" quotePrefix="1" applyFill="1" applyBorder="1" applyAlignment="1">
      <alignment horizontal="center"/>
    </xf>
    <xf numFmtId="14" fontId="10" fillId="0" borderId="0" xfId="3" applyNumberFormat="1"/>
    <xf numFmtId="0" fontId="10" fillId="0" borderId="0" xfId="3" quotePrefix="1" applyAlignment="1">
      <alignment horizontal="center"/>
    </xf>
    <xf numFmtId="0" fontId="10" fillId="0" borderId="36" xfId="3" applyBorder="1"/>
    <xf numFmtId="164" fontId="10" fillId="0" borderId="11" xfId="3" applyNumberFormat="1" applyBorder="1"/>
    <xf numFmtId="0" fontId="10" fillId="0" borderId="37" xfId="3" applyBorder="1" applyAlignment="1">
      <alignment horizontal="center"/>
    </xf>
    <xf numFmtId="0" fontId="13" fillId="5" borderId="38" xfId="3" applyFont="1" applyFill="1" applyBorder="1" applyAlignment="1">
      <alignment horizontal="right" vertical="center" indent="1"/>
    </xf>
    <xf numFmtId="0" fontId="10" fillId="0" borderId="0" xfId="3" applyAlignment="1">
      <alignment horizontal="center"/>
    </xf>
    <xf numFmtId="0" fontId="10" fillId="0" borderId="0" xfId="3" quotePrefix="1"/>
    <xf numFmtId="9" fontId="10" fillId="0" borderId="41" xfId="3" applyNumberFormat="1" applyBorder="1"/>
    <xf numFmtId="0" fontId="10" fillId="0" borderId="0" xfId="3" applyAlignment="1">
      <alignment horizontal="right" indent="1"/>
    </xf>
    <xf numFmtId="169" fontId="10" fillId="0" borderId="0" xfId="3" applyNumberFormat="1"/>
    <xf numFmtId="0" fontId="23" fillId="0" borderId="0" xfId="3" applyFont="1" applyAlignment="1">
      <alignment horizontal="left" vertical="center"/>
    </xf>
    <xf numFmtId="164" fontId="10" fillId="6" borderId="11" xfId="3" applyNumberFormat="1" applyFill="1" applyBorder="1"/>
    <xf numFmtId="0" fontId="10" fillId="6" borderId="37" xfId="3" applyFill="1" applyBorder="1" applyAlignment="1">
      <alignment horizontal="center"/>
    </xf>
    <xf numFmtId="14" fontId="10" fillId="0" borderId="35" xfId="3" applyNumberFormat="1" applyBorder="1" applyAlignment="1">
      <alignment horizontal="center"/>
    </xf>
    <xf numFmtId="0" fontId="14" fillId="0" borderId="35" xfId="3" applyFont="1" applyBorder="1"/>
    <xf numFmtId="14" fontId="10" fillId="0" borderId="43" xfId="3" applyNumberFormat="1" applyBorder="1" applyAlignment="1">
      <alignment horizontal="center"/>
    </xf>
    <xf numFmtId="0" fontId="10" fillId="6" borderId="37" xfId="3" quotePrefix="1" applyFill="1" applyBorder="1" applyAlignment="1">
      <alignment horizontal="center"/>
    </xf>
    <xf numFmtId="164" fontId="10" fillId="0" borderId="45" xfId="3" applyNumberFormat="1" applyBorder="1"/>
    <xf numFmtId="0" fontId="10" fillId="0" borderId="46" xfId="3" applyBorder="1" applyAlignment="1">
      <alignment horizontal="center"/>
    </xf>
    <xf numFmtId="0" fontId="10" fillId="0" borderId="20" xfId="3" applyBorder="1"/>
    <xf numFmtId="164" fontId="10" fillId="0" borderId="20" xfId="3" applyNumberFormat="1" applyBorder="1"/>
    <xf numFmtId="164" fontId="10" fillId="0" borderId="0" xfId="3" applyNumberFormat="1"/>
    <xf numFmtId="0" fontId="13" fillId="5" borderId="0" xfId="3" applyFont="1" applyFill="1" applyAlignment="1">
      <alignment horizontal="right" vertical="center" indent="1"/>
    </xf>
    <xf numFmtId="0" fontId="24" fillId="0" borderId="0" xfId="0" applyFont="1" applyAlignment="1">
      <alignment horizontal="center"/>
    </xf>
    <xf numFmtId="0" fontId="9" fillId="0" borderId="0" xfId="0" applyFont="1"/>
    <xf numFmtId="172" fontId="9" fillId="0" borderId="0" xfId="0" applyNumberFormat="1" applyFont="1"/>
    <xf numFmtId="0" fontId="5" fillId="0" borderId="0" xfId="0" applyFont="1" applyAlignment="1">
      <alignment horizontal="center"/>
    </xf>
    <xf numFmtId="170" fontId="6" fillId="0" borderId="0" xfId="5" applyNumberFormat="1" applyFont="1"/>
    <xf numFmtId="164" fontId="6" fillId="0" borderId="0" xfId="0" applyNumberFormat="1" applyFont="1"/>
    <xf numFmtId="0" fontId="20" fillId="0" borderId="0" xfId="0" applyFont="1" applyAlignment="1">
      <alignment horizontal="center"/>
    </xf>
    <xf numFmtId="14" fontId="25" fillId="9" borderId="0" xfId="0" applyNumberFormat="1" applyFont="1" applyFill="1" applyAlignment="1">
      <alignment horizontal="center"/>
    </xf>
    <xf numFmtId="0" fontId="6" fillId="9" borderId="0" xfId="0" applyFont="1" applyFill="1"/>
    <xf numFmtId="10" fontId="10" fillId="0" borderId="42" xfId="3" applyNumberFormat="1" applyBorder="1"/>
    <xf numFmtId="14" fontId="23" fillId="0" borderId="18" xfId="3" applyNumberFormat="1" applyFont="1" applyBorder="1" applyAlignment="1">
      <alignment horizontal="left" vertical="center" indent="1"/>
    </xf>
    <xf numFmtId="0" fontId="26" fillId="0" borderId="40" xfId="3" applyFont="1" applyBorder="1" applyAlignment="1">
      <alignment vertical="center"/>
    </xf>
    <xf numFmtId="0" fontId="22" fillId="0" borderId="0" xfId="3" applyFont="1"/>
    <xf numFmtId="43" fontId="6" fillId="0" borderId="0" xfId="0" applyNumberFormat="1" applyFont="1"/>
    <xf numFmtId="0" fontId="10" fillId="0" borderId="52" xfId="3" applyBorder="1"/>
    <xf numFmtId="14" fontId="23" fillId="0" borderId="18" xfId="3" quotePrefix="1" applyNumberFormat="1" applyFont="1" applyBorder="1" applyAlignment="1">
      <alignment horizontal="left" vertical="center" indent="1"/>
    </xf>
    <xf numFmtId="17" fontId="6" fillId="0" borderId="52" xfId="1" applyNumberFormat="1" applyFont="1" applyBorder="1" applyProtection="1">
      <protection locked="0" hidden="1"/>
    </xf>
    <xf numFmtId="0" fontId="0" fillId="0" borderId="52" xfId="0" applyBorder="1"/>
    <xf numFmtId="0" fontId="18" fillId="0" borderId="0" xfId="4" applyFont="1" applyFill="1" applyBorder="1" applyAlignment="1">
      <alignment horizontal="center" vertical="center"/>
    </xf>
    <xf numFmtId="0" fontId="6" fillId="0" borderId="0" xfId="3" applyFont="1" applyAlignment="1">
      <alignment horizontal="center"/>
    </xf>
    <xf numFmtId="164" fontId="6" fillId="0" borderId="0" xfId="3" applyNumberFormat="1" applyFont="1"/>
    <xf numFmtId="14" fontId="6" fillId="0" borderId="0" xfId="3" applyNumberFormat="1" applyFont="1"/>
    <xf numFmtId="0" fontId="20" fillId="0" borderId="0" xfId="3" applyFont="1" applyAlignment="1">
      <alignment horizontal="center"/>
    </xf>
    <xf numFmtId="0" fontId="5" fillId="0" borderId="0" xfId="3" applyFont="1" applyAlignment="1">
      <alignment horizontal="center"/>
    </xf>
    <xf numFmtId="164" fontId="5" fillId="0" borderId="0" xfId="3" applyNumberFormat="1" applyFont="1"/>
    <xf numFmtId="14" fontId="5" fillId="0" borderId="0" xfId="3" applyNumberFormat="1" applyFont="1"/>
    <xf numFmtId="0" fontId="15" fillId="5" borderId="53" xfId="3" applyFont="1" applyFill="1" applyBorder="1" applyAlignment="1">
      <alignment horizontal="center" vertical="center"/>
    </xf>
    <xf numFmtId="0" fontId="10" fillId="0" borderId="54" xfId="3" applyBorder="1"/>
    <xf numFmtId="0" fontId="10" fillId="0" borderId="55" xfId="3" applyBorder="1"/>
    <xf numFmtId="0" fontId="10" fillId="0" borderId="56" xfId="3" applyBorder="1"/>
    <xf numFmtId="0" fontId="10" fillId="0" borderId="0" xfId="3" applyAlignment="1">
      <alignment horizontal="center" vertical="center"/>
    </xf>
    <xf numFmtId="14" fontId="10" fillId="0" borderId="0" xfId="3" quotePrefix="1" applyNumberFormat="1"/>
    <xf numFmtId="0" fontId="18" fillId="0" borderId="0" xfId="4" applyFont="1" applyFill="1" applyBorder="1" applyAlignment="1">
      <alignment horizontal="center" vertical="center" textRotation="90"/>
    </xf>
    <xf numFmtId="169" fontId="14" fillId="0" borderId="0" xfId="3" applyNumberFormat="1" applyFont="1" applyAlignment="1">
      <alignment horizontal="center" vertical="center"/>
    </xf>
    <xf numFmtId="1" fontId="10" fillId="0" borderId="0" xfId="3" applyNumberFormat="1" applyAlignment="1">
      <alignment horizontal="center" vertical="center"/>
    </xf>
    <xf numFmtId="0" fontId="14" fillId="0" borderId="0" xfId="3" applyFont="1"/>
    <xf numFmtId="17" fontId="5" fillId="0" borderId="0" xfId="1" applyNumberFormat="1" applyFont="1" applyAlignment="1" applyProtection="1">
      <alignment horizontal="center" vertical="center"/>
      <protection locked="0" hidden="1"/>
    </xf>
    <xf numFmtId="0" fontId="5" fillId="0" borderId="0" xfId="1" applyFont="1" applyAlignment="1" applyProtection="1">
      <alignment horizontal="center" vertical="center"/>
      <protection locked="0" hidden="1"/>
    </xf>
    <xf numFmtId="4" fontId="5" fillId="0" borderId="0" xfId="1" applyNumberFormat="1" applyFont="1" applyAlignment="1" applyProtection="1">
      <alignment horizontal="center" vertical="center"/>
      <protection locked="0" hidden="1"/>
    </xf>
    <xf numFmtId="164" fontId="6" fillId="0" borderId="0" xfId="1" applyNumberFormat="1" applyFont="1" applyProtection="1">
      <protection locked="0" hidden="1"/>
    </xf>
    <xf numFmtId="0" fontId="6" fillId="0" borderId="0" xfId="1" applyFont="1" applyAlignment="1" applyProtection="1">
      <alignment horizontal="right"/>
      <protection locked="0" hidden="1"/>
    </xf>
    <xf numFmtId="43" fontId="8" fillId="0" borderId="0" xfId="2" applyNumberFormat="1" applyFont="1" applyAlignment="1" applyProtection="1">
      <alignment horizontal="right" wrapText="1"/>
      <protection locked="0" hidden="1"/>
    </xf>
    <xf numFmtId="43" fontId="6" fillId="0" borderId="0" xfId="1" applyNumberFormat="1" applyFont="1" applyProtection="1">
      <protection locked="0" hidden="1"/>
    </xf>
    <xf numFmtId="14" fontId="6" fillId="0" borderId="0" xfId="1" applyNumberFormat="1" applyFont="1" applyProtection="1">
      <protection locked="0" hidden="1"/>
    </xf>
    <xf numFmtId="0" fontId="6" fillId="0" borderId="11" xfId="1" applyFont="1" applyBorder="1" applyAlignment="1" applyProtection="1">
      <alignment horizontal="right"/>
      <protection locked="0" hidden="1"/>
    </xf>
    <xf numFmtId="0" fontId="6" fillId="0" borderId="12" xfId="1" applyFont="1" applyBorder="1" applyAlignment="1" applyProtection="1">
      <alignment horizontal="right"/>
      <protection locked="0" hidden="1"/>
    </xf>
    <xf numFmtId="0" fontId="6" fillId="0" borderId="57" xfId="1" applyFont="1" applyBorder="1" applyAlignment="1" applyProtection="1">
      <alignment horizontal="right"/>
      <protection locked="0" hidden="1"/>
    </xf>
    <xf numFmtId="0" fontId="6" fillId="0" borderId="10" xfId="1" applyFont="1" applyBorder="1" applyAlignment="1" applyProtection="1">
      <alignment horizontal="right"/>
      <protection locked="0" hidden="1"/>
    </xf>
    <xf numFmtId="0" fontId="2" fillId="0" borderId="0" xfId="0" applyFont="1"/>
    <xf numFmtId="0" fontId="20" fillId="10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right" indent="1"/>
    </xf>
    <xf numFmtId="43" fontId="1" fillId="0" borderId="0" xfId="0" applyNumberFormat="1" applyFont="1"/>
    <xf numFmtId="0" fontId="0" fillId="0" borderId="0" xfId="0" quotePrefix="1" applyAlignment="1">
      <alignment horizontal="center"/>
    </xf>
    <xf numFmtId="0" fontId="16" fillId="0" borderId="0" xfId="4" applyFont="1" applyFill="1" applyBorder="1" applyAlignment="1">
      <alignment vertical="center"/>
    </xf>
    <xf numFmtId="0" fontId="5" fillId="2" borderId="8" xfId="1" applyFont="1" applyFill="1" applyBorder="1" applyAlignment="1" applyProtection="1">
      <alignment horizontal="center" vertical="center"/>
      <protection locked="0" hidden="1"/>
    </xf>
    <xf numFmtId="170" fontId="3" fillId="0" borderId="0" xfId="5" applyNumberFormat="1" applyFont="1"/>
    <xf numFmtId="170" fontId="3" fillId="0" borderId="0" xfId="0" applyNumberFormat="1" applyFont="1"/>
    <xf numFmtId="14" fontId="3" fillId="0" borderId="0" xfId="0" applyNumberFormat="1" applyFont="1"/>
    <xf numFmtId="0" fontId="3" fillId="0" borderId="0" xfId="0" applyFont="1"/>
    <xf numFmtId="0" fontId="1" fillId="0" borderId="0" xfId="0" applyFont="1" applyAlignment="1" applyProtection="1">
      <alignment horizontal="center"/>
      <protection hidden="1"/>
    </xf>
    <xf numFmtId="0" fontId="1" fillId="0" borderId="0" xfId="0" applyFont="1" applyAlignment="1">
      <alignment horizontal="center"/>
    </xf>
    <xf numFmtId="0" fontId="34" fillId="0" borderId="0" xfId="0" applyFont="1"/>
    <xf numFmtId="164" fontId="34" fillId="0" borderId="0" xfId="0" applyNumberFormat="1" applyFont="1"/>
    <xf numFmtId="43" fontId="35" fillId="0" borderId="0" xfId="0" applyNumberFormat="1" applyFont="1"/>
    <xf numFmtId="0" fontId="36" fillId="0" borderId="0" xfId="0" applyFont="1"/>
    <xf numFmtId="0" fontId="37" fillId="0" borderId="0" xfId="0" applyFont="1" applyAlignment="1">
      <alignment horizontal="right" indent="1"/>
    </xf>
    <xf numFmtId="0" fontId="38" fillId="11" borderId="63" xfId="0" applyFont="1" applyFill="1" applyBorder="1" applyAlignment="1">
      <alignment horizontal="center"/>
    </xf>
    <xf numFmtId="0" fontId="39" fillId="12" borderId="64" xfId="0" applyFont="1" applyFill="1" applyBorder="1" applyAlignment="1">
      <alignment horizontal="right"/>
    </xf>
    <xf numFmtId="0" fontId="0" fillId="11" borderId="66" xfId="0" applyFill="1" applyBorder="1"/>
    <xf numFmtId="0" fontId="40" fillId="0" borderId="65" xfId="0" applyFont="1" applyBorder="1" applyAlignment="1">
      <alignment horizontal="left"/>
    </xf>
    <xf numFmtId="0" fontId="39" fillId="12" borderId="67" xfId="0" applyFont="1" applyFill="1" applyBorder="1" applyAlignment="1">
      <alignment horizontal="right"/>
    </xf>
    <xf numFmtId="0" fontId="40" fillId="0" borderId="68" xfId="0" applyFont="1" applyBorder="1" applyAlignment="1">
      <alignment horizontal="left"/>
    </xf>
    <xf numFmtId="14" fontId="40" fillId="0" borderId="65" xfId="0" applyNumberFormat="1" applyFont="1" applyBorder="1" applyAlignment="1">
      <alignment horizontal="left"/>
    </xf>
    <xf numFmtId="14" fontId="40" fillId="0" borderId="68" xfId="0" applyNumberFormat="1" applyFont="1" applyBorder="1" applyAlignment="1">
      <alignment horizontal="left"/>
    </xf>
    <xf numFmtId="9" fontId="40" fillId="0" borderId="68" xfId="0" applyNumberFormat="1" applyFont="1" applyBorder="1" applyAlignment="1">
      <alignment horizontal="left"/>
    </xf>
    <xf numFmtId="10" fontId="40" fillId="0" borderId="65" xfId="0" applyNumberFormat="1" applyFont="1" applyBorder="1" applyAlignment="1">
      <alignment horizontal="left"/>
    </xf>
    <xf numFmtId="175" fontId="42" fillId="14" borderId="69" xfId="0" applyNumberFormat="1" applyFont="1" applyFill="1" applyBorder="1"/>
    <xf numFmtId="0" fontId="38" fillId="11" borderId="63" xfId="0" applyFont="1" applyFill="1" applyBorder="1" applyAlignment="1">
      <alignment horizontal="center" vertical="center"/>
    </xf>
    <xf numFmtId="0" fontId="0" fillId="11" borderId="66" xfId="0" quotePrefix="1" applyFill="1" applyBorder="1" applyAlignment="1">
      <alignment horizontal="center"/>
    </xf>
    <xf numFmtId="175" fontId="40" fillId="0" borderId="68" xfId="0" quotePrefix="1" applyNumberFormat="1" applyFont="1" applyBorder="1" applyAlignment="1">
      <alignment horizontal="left"/>
    </xf>
    <xf numFmtId="175" fontId="43" fillId="0" borderId="68" xfId="0" quotePrefix="1" applyNumberFormat="1" applyFont="1" applyBorder="1" applyAlignment="1">
      <alignment horizontal="left"/>
    </xf>
    <xf numFmtId="0" fontId="44" fillId="12" borderId="71" xfId="0" applyFont="1" applyFill="1" applyBorder="1" applyAlignment="1">
      <alignment horizontal="right"/>
    </xf>
    <xf numFmtId="175" fontId="38" fillId="0" borderId="72" xfId="0" quotePrefix="1" applyNumberFormat="1" applyFont="1" applyBorder="1" applyAlignment="1">
      <alignment horizontal="left"/>
    </xf>
    <xf numFmtId="0" fontId="45" fillId="13" borderId="70" xfId="0" applyFont="1" applyFill="1" applyBorder="1" applyAlignment="1">
      <alignment horizontal="right"/>
    </xf>
    <xf numFmtId="175" fontId="46" fillId="14" borderId="69" xfId="0" quotePrefix="1" applyNumberFormat="1" applyFont="1" applyFill="1" applyBorder="1" applyAlignment="1">
      <alignment horizontal="left"/>
    </xf>
    <xf numFmtId="17" fontId="5" fillId="2" borderId="62" xfId="1" applyNumberFormat="1" applyFont="1" applyFill="1" applyBorder="1" applyAlignment="1" applyProtection="1">
      <alignment horizontal="center" vertical="center"/>
      <protection locked="0" hidden="1"/>
    </xf>
    <xf numFmtId="164" fontId="6" fillId="0" borderId="73" xfId="1" applyNumberFormat="1" applyFont="1" applyBorder="1" applyProtection="1">
      <protection locked="0" hidden="1"/>
    </xf>
    <xf numFmtId="164" fontId="6" fillId="0" borderId="74" xfId="1" applyNumberFormat="1" applyFont="1" applyBorder="1" applyProtection="1">
      <protection locked="0" hidden="1"/>
    </xf>
    <xf numFmtId="164" fontId="6" fillId="0" borderId="75" xfId="1" applyNumberFormat="1" applyFont="1" applyBorder="1" applyProtection="1">
      <protection locked="0" hidden="1"/>
    </xf>
    <xf numFmtId="164" fontId="6" fillId="0" borderId="76" xfId="1" applyNumberFormat="1" applyFont="1" applyBorder="1" applyProtection="1">
      <protection locked="0" hidden="1"/>
    </xf>
    <xf numFmtId="4" fontId="5" fillId="2" borderId="60" xfId="1" applyNumberFormat="1" applyFont="1" applyFill="1" applyBorder="1" applyAlignment="1" applyProtection="1">
      <alignment horizontal="center" vertical="center"/>
      <protection locked="0" hidden="1"/>
    </xf>
    <xf numFmtId="43" fontId="6" fillId="0" borderId="77" xfId="1" applyNumberFormat="1" applyFont="1" applyBorder="1" applyProtection="1">
      <protection locked="0" hidden="1"/>
    </xf>
    <xf numFmtId="43" fontId="6" fillId="0" borderId="78" xfId="1" applyNumberFormat="1" applyFont="1" applyBorder="1" applyProtection="1">
      <protection locked="0" hidden="1"/>
    </xf>
    <xf numFmtId="43" fontId="6" fillId="0" borderId="79" xfId="1" applyNumberFormat="1" applyFont="1" applyBorder="1" applyProtection="1">
      <protection locked="0" hidden="1"/>
    </xf>
    <xf numFmtId="43" fontId="6" fillId="0" borderId="80" xfId="1" applyNumberFormat="1" applyFont="1" applyBorder="1" applyProtection="1">
      <protection locked="0" hidden="1"/>
    </xf>
    <xf numFmtId="43" fontId="6" fillId="0" borderId="79" xfId="0" applyNumberFormat="1" applyFont="1" applyBorder="1"/>
    <xf numFmtId="43" fontId="6" fillId="0" borderId="80" xfId="0" applyNumberFormat="1" applyFont="1" applyBorder="1"/>
    <xf numFmtId="43" fontId="6" fillId="0" borderId="78" xfId="0" applyNumberFormat="1" applyFont="1" applyBorder="1"/>
    <xf numFmtId="43" fontId="6" fillId="0" borderId="77" xfId="0" applyNumberFormat="1" applyFont="1" applyBorder="1"/>
    <xf numFmtId="17" fontId="5" fillId="2" borderId="55" xfId="1" applyNumberFormat="1" applyFont="1" applyFill="1" applyBorder="1" applyAlignment="1" applyProtection="1">
      <alignment horizontal="center" vertical="center"/>
      <protection locked="0" hidden="1"/>
    </xf>
    <xf numFmtId="0" fontId="5" fillId="2" borderId="13" xfId="1" applyFont="1" applyFill="1" applyBorder="1" applyAlignment="1" applyProtection="1">
      <alignment horizontal="center" vertical="center"/>
      <protection locked="0" hidden="1"/>
    </xf>
    <xf numFmtId="4" fontId="5" fillId="2" borderId="81" xfId="1" applyNumberFormat="1" applyFont="1" applyFill="1" applyBorder="1" applyAlignment="1" applyProtection="1">
      <alignment horizontal="center" vertical="center"/>
      <protection locked="0" hidden="1"/>
    </xf>
    <xf numFmtId="164" fontId="6" fillId="0" borderId="82" xfId="1" applyNumberFormat="1" applyFont="1" applyBorder="1" applyProtection="1">
      <protection locked="0" hidden="1"/>
    </xf>
    <xf numFmtId="0" fontId="6" fillId="0" borderId="45" xfId="1" applyFont="1" applyBorder="1" applyAlignment="1" applyProtection="1">
      <alignment horizontal="right"/>
      <protection locked="0" hidden="1"/>
    </xf>
    <xf numFmtId="43" fontId="6" fillId="0" borderId="83" xfId="0" applyNumberFormat="1" applyFont="1" applyBorder="1"/>
    <xf numFmtId="0" fontId="47" fillId="0" borderId="0" xfId="7" applyFont="1" applyAlignment="1">
      <alignment horizontal="left"/>
    </xf>
    <xf numFmtId="164" fontId="3" fillId="0" borderId="13" xfId="0" applyNumberFormat="1" applyFont="1" applyBorder="1"/>
    <xf numFmtId="43" fontId="3" fillId="0" borderId="13" xfId="0" applyNumberFormat="1" applyFont="1" applyBorder="1"/>
    <xf numFmtId="43" fontId="3" fillId="0" borderId="13" xfId="0" quotePrefix="1" applyNumberFormat="1" applyFont="1" applyBorder="1"/>
    <xf numFmtId="173" fontId="3" fillId="0" borderId="13" xfId="0" applyNumberFormat="1" applyFont="1" applyBorder="1"/>
    <xf numFmtId="164" fontId="3" fillId="0" borderId="8" xfId="0" applyNumberFormat="1" applyFont="1" applyBorder="1"/>
    <xf numFmtId="43" fontId="3" fillId="0" borderId="8" xfId="0" applyNumberFormat="1" applyFont="1" applyBorder="1"/>
    <xf numFmtId="43" fontId="3" fillId="0" borderId="8" xfId="0" quotePrefix="1" applyNumberFormat="1" applyFont="1" applyBorder="1"/>
    <xf numFmtId="173" fontId="3" fillId="0" borderId="8" xfId="0" applyNumberFormat="1" applyFont="1" applyBorder="1"/>
    <xf numFmtId="0" fontId="1" fillId="11" borderId="84" xfId="0" applyFont="1" applyFill="1" applyBorder="1" applyAlignment="1">
      <alignment horizontal="right" vertical="center"/>
    </xf>
    <xf numFmtId="175" fontId="1" fillId="11" borderId="84" xfId="0" applyNumberFormat="1" applyFont="1" applyFill="1" applyBorder="1" applyAlignment="1">
      <alignment vertical="center"/>
    </xf>
    <xf numFmtId="175" fontId="1" fillId="11" borderId="85" xfId="0" applyNumberFormat="1" applyFont="1" applyFill="1" applyBorder="1" applyAlignment="1">
      <alignment vertical="center"/>
    </xf>
    <xf numFmtId="0" fontId="41" fillId="13" borderId="70" xfId="0" applyFont="1" applyFill="1" applyBorder="1" applyAlignment="1">
      <alignment horizontal="right" indent="1"/>
    </xf>
    <xf numFmtId="0" fontId="35" fillId="13" borderId="70" xfId="0" applyFont="1" applyFill="1" applyBorder="1" applyAlignment="1">
      <alignment horizontal="right" indent="1"/>
    </xf>
    <xf numFmtId="0" fontId="35" fillId="2" borderId="4" xfId="0" applyFont="1" applyFill="1" applyBorder="1" applyAlignment="1">
      <alignment horizontal="center" vertical="center" wrapText="1"/>
    </xf>
    <xf numFmtId="0" fontId="34" fillId="0" borderId="8" xfId="0" applyFont="1" applyBorder="1" applyAlignment="1">
      <alignment horizontal="center" vertical="center" wrapText="1"/>
    </xf>
    <xf numFmtId="0" fontId="33" fillId="2" borderId="5" xfId="0" applyFont="1" applyFill="1" applyBorder="1" applyAlignment="1">
      <alignment horizontal="center" vertical="center"/>
    </xf>
    <xf numFmtId="44" fontId="33" fillId="2" borderId="6" xfId="0" applyNumberFormat="1" applyFont="1" applyFill="1" applyBorder="1" applyAlignment="1">
      <alignment horizontal="center" vertical="center"/>
    </xf>
    <xf numFmtId="44" fontId="33" fillId="2" borderId="7" xfId="0" applyNumberFormat="1" applyFont="1" applyFill="1" applyBorder="1" applyAlignment="1">
      <alignment horizontal="center" vertical="center"/>
    </xf>
    <xf numFmtId="0" fontId="35" fillId="2" borderId="4" xfId="0" applyFont="1" applyFill="1" applyBorder="1" applyAlignment="1">
      <alignment horizontal="center" vertical="center"/>
    </xf>
    <xf numFmtId="0" fontId="35" fillId="2" borderId="8" xfId="0" applyFont="1" applyFill="1" applyBorder="1" applyAlignment="1">
      <alignment horizontal="center" vertical="center"/>
    </xf>
    <xf numFmtId="0" fontId="35" fillId="2" borderId="8" xfId="0" applyFont="1" applyFill="1" applyBorder="1" applyAlignment="1">
      <alignment horizontal="center" vertical="center" wrapText="1"/>
    </xf>
    <xf numFmtId="0" fontId="18" fillId="5" borderId="27" xfId="4" applyFont="1" applyFill="1" applyBorder="1" applyAlignment="1">
      <alignment horizontal="center" vertical="center"/>
    </xf>
    <xf numFmtId="0" fontId="18" fillId="5" borderId="28" xfId="4" applyFont="1" applyFill="1" applyBorder="1" applyAlignment="1">
      <alignment horizontal="center" vertical="center"/>
    </xf>
    <xf numFmtId="0" fontId="18" fillId="5" borderId="29" xfId="4" applyFont="1" applyFill="1" applyBorder="1" applyAlignment="1">
      <alignment horizontal="center" vertical="center"/>
    </xf>
    <xf numFmtId="0" fontId="21" fillId="7" borderId="39" xfId="3" applyFont="1" applyFill="1" applyBorder="1" applyAlignment="1">
      <alignment horizontal="center" vertical="center"/>
    </xf>
    <xf numFmtId="0" fontId="21" fillId="7" borderId="17" xfId="3" applyFont="1" applyFill="1" applyBorder="1" applyAlignment="1">
      <alignment horizontal="center" vertical="center"/>
    </xf>
    <xf numFmtId="0" fontId="14" fillId="0" borderId="0" xfId="3" applyFont="1" applyAlignment="1">
      <alignment horizontal="center" vertical="center" textRotation="90"/>
    </xf>
    <xf numFmtId="0" fontId="12" fillId="5" borderId="14" xfId="3" applyFont="1" applyFill="1" applyBorder="1" applyAlignment="1">
      <alignment horizontal="right" vertical="center" indent="1"/>
    </xf>
    <xf numFmtId="0" fontId="12" fillId="5" borderId="15" xfId="3" applyFont="1" applyFill="1" applyBorder="1" applyAlignment="1">
      <alignment horizontal="right" vertical="center" indent="1"/>
    </xf>
    <xf numFmtId="0" fontId="12" fillId="5" borderId="16" xfId="3" applyFont="1" applyFill="1" applyBorder="1" applyAlignment="1">
      <alignment horizontal="right" vertical="center" indent="1"/>
    </xf>
    <xf numFmtId="0" fontId="16" fillId="0" borderId="0" xfId="4" applyFont="1" applyFill="1" applyBorder="1" applyAlignment="1">
      <alignment horizontal="center" vertical="center"/>
    </xf>
    <xf numFmtId="0" fontId="17" fillId="0" borderId="0" xfId="4" applyFont="1" applyFill="1" applyBorder="1" applyAlignment="1">
      <alignment horizontal="center" vertical="center"/>
    </xf>
    <xf numFmtId="0" fontId="14" fillId="0" borderId="0" xfId="3" applyFont="1" applyAlignment="1">
      <alignment horizontal="center" vertical="center"/>
    </xf>
    <xf numFmtId="0" fontId="14" fillId="0" borderId="0" xfId="3" applyFont="1" applyAlignment="1">
      <alignment horizontal="right" vertical="center" indent="1"/>
    </xf>
    <xf numFmtId="0" fontId="18" fillId="0" borderId="0" xfId="4" applyFont="1" applyFill="1" applyBorder="1" applyAlignment="1">
      <alignment horizontal="center" vertical="center" textRotation="90"/>
    </xf>
    <xf numFmtId="165" fontId="29" fillId="0" borderId="0" xfId="3" applyNumberFormat="1" applyFont="1" applyAlignment="1">
      <alignment horizontal="center" vertical="center"/>
    </xf>
    <xf numFmtId="166" fontId="19" fillId="5" borderId="19" xfId="3" applyNumberFormat="1" applyFont="1" applyFill="1" applyBorder="1" applyAlignment="1">
      <alignment horizontal="center" vertical="center"/>
    </xf>
    <xf numFmtId="166" fontId="19" fillId="5" borderId="21" xfId="3" applyNumberFormat="1" applyFont="1" applyFill="1" applyBorder="1" applyAlignment="1">
      <alignment horizontal="center" vertical="center"/>
    </xf>
    <xf numFmtId="166" fontId="19" fillId="5" borderId="47" xfId="3" applyNumberFormat="1" applyFont="1" applyFill="1" applyBorder="1" applyAlignment="1">
      <alignment horizontal="center" vertical="center"/>
    </xf>
    <xf numFmtId="166" fontId="19" fillId="5" borderId="48" xfId="3" applyNumberFormat="1" applyFont="1" applyFill="1" applyBorder="1" applyAlignment="1">
      <alignment horizontal="center" vertical="center"/>
    </xf>
    <xf numFmtId="167" fontId="28" fillId="7" borderId="50" xfId="3" applyNumberFormat="1" applyFont="1" applyFill="1" applyBorder="1" applyAlignment="1">
      <alignment horizontal="center" vertical="center"/>
    </xf>
    <xf numFmtId="167" fontId="28" fillId="7" borderId="51" xfId="3" applyNumberFormat="1" applyFont="1" applyFill="1" applyBorder="1" applyAlignment="1">
      <alignment horizontal="center" vertical="center"/>
    </xf>
    <xf numFmtId="168" fontId="27" fillId="8" borderId="50" xfId="3" applyNumberFormat="1" applyFont="1" applyFill="1" applyBorder="1" applyAlignment="1">
      <alignment horizontal="center" vertical="center"/>
    </xf>
    <xf numFmtId="168" fontId="27" fillId="8" borderId="51" xfId="3" applyNumberFormat="1" applyFont="1" applyFill="1" applyBorder="1" applyAlignment="1">
      <alignment horizontal="center" vertical="center"/>
    </xf>
    <xf numFmtId="168" fontId="27" fillId="8" borderId="49" xfId="3" applyNumberFormat="1" applyFont="1" applyFill="1" applyBorder="1" applyAlignment="1">
      <alignment horizontal="center" vertical="center"/>
    </xf>
    <xf numFmtId="168" fontId="27" fillId="8" borderId="44" xfId="3" applyNumberFormat="1" applyFont="1" applyFill="1" applyBorder="1" applyAlignment="1">
      <alignment horizontal="center" vertical="center"/>
    </xf>
    <xf numFmtId="0" fontId="1" fillId="2" borderId="58" xfId="0" applyFont="1" applyFill="1" applyBorder="1" applyAlignment="1">
      <alignment horizontal="center" vertical="center" wrapText="1"/>
    </xf>
    <xf numFmtId="0" fontId="1" fillId="2" borderId="52" xfId="0" applyFont="1" applyFill="1" applyBorder="1" applyAlignment="1">
      <alignment horizontal="center" vertical="center" wrapText="1"/>
    </xf>
    <xf numFmtId="0" fontId="1" fillId="2" borderId="59" xfId="0" applyFont="1" applyFill="1" applyBorder="1" applyAlignment="1">
      <alignment horizontal="center" vertical="center" wrapText="1"/>
    </xf>
    <xf numFmtId="0" fontId="1" fillId="2" borderId="60" xfId="0" applyFont="1" applyFill="1" applyBorder="1" applyAlignment="1">
      <alignment horizontal="center" vertical="center" wrapText="1"/>
    </xf>
    <xf numFmtId="0" fontId="1" fillId="2" borderId="61" xfId="0" applyFont="1" applyFill="1" applyBorder="1" applyAlignment="1">
      <alignment horizontal="center" vertical="center" wrapText="1"/>
    </xf>
    <xf numFmtId="0" fontId="1" fillId="2" borderId="6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indent="1"/>
    </xf>
    <xf numFmtId="0" fontId="3" fillId="0" borderId="0" xfId="0" applyFont="1" applyAlignment="1">
      <alignment horizontal="center" vertical="center"/>
    </xf>
    <xf numFmtId="0" fontId="23" fillId="15" borderId="18" xfId="3" applyFont="1" applyFill="1" applyBorder="1" applyAlignment="1" applyProtection="1">
      <alignment horizontal="left" vertical="center" indent="1"/>
      <protection locked="0"/>
    </xf>
    <xf numFmtId="14" fontId="23" fillId="15" borderId="18" xfId="3" applyNumberFormat="1" applyFont="1" applyFill="1" applyBorder="1" applyAlignment="1" applyProtection="1">
      <alignment horizontal="left" vertical="center" indent="1"/>
      <protection locked="0"/>
    </xf>
    <xf numFmtId="7" fontId="23" fillId="15" borderId="18" xfId="3" applyNumberFormat="1" applyFont="1" applyFill="1" applyBorder="1" applyAlignment="1" applyProtection="1">
      <alignment horizontal="left" vertical="center" indent="1"/>
      <protection locked="0"/>
    </xf>
    <xf numFmtId="9" fontId="23" fillId="15" borderId="18" xfId="3" applyNumberFormat="1" applyFont="1" applyFill="1" applyBorder="1" applyAlignment="1" applyProtection="1">
      <alignment horizontal="left" vertical="center" indent="1"/>
      <protection locked="0"/>
    </xf>
    <xf numFmtId="10" fontId="23" fillId="15" borderId="0" xfId="3" applyNumberFormat="1" applyFont="1" applyFill="1" applyAlignment="1" applyProtection="1">
      <alignment horizontal="left" vertical="center" indent="1"/>
      <protection locked="0"/>
    </xf>
    <xf numFmtId="0" fontId="14" fillId="15" borderId="0" xfId="3" applyFont="1" applyFill="1" applyAlignment="1" applyProtection="1">
      <alignment horizontal="center" vertical="center"/>
      <protection locked="0"/>
    </xf>
  </cellXfs>
  <cellStyles count="8">
    <cellStyle name="Ênfase6 2" xfId="4" xr:uid="{646549DB-F8D8-4D2A-8A2D-6DD8249093E4}"/>
    <cellStyle name="Hiperlink" xfId="7" builtinId="8"/>
    <cellStyle name="Normal" xfId="0" builtinId="0"/>
    <cellStyle name="Normal 2" xfId="3" xr:uid="{40FDFB44-F160-4CCC-9446-AFF4C991E190}"/>
    <cellStyle name="Normal 7" xfId="1" xr:uid="{575F77F3-1493-4064-941A-3293D9F647FD}"/>
    <cellStyle name="Normal_Plan1" xfId="2" xr:uid="{083D6529-C7DC-42F0-9EA8-D0FEBFA0BEE1}"/>
    <cellStyle name="Vírgula 10" xfId="6" xr:uid="{B156A446-6AF3-4EA4-8A33-761C2B042472}"/>
    <cellStyle name="Vírgula 2" xfId="5" xr:uid="{F3DBD705-EBB9-48C6-B815-519653C0B1A4}"/>
  </cellStyles>
  <dxfs count="1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70" formatCode="0.0000000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70" formatCode="0.0000000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70" formatCode="0.0000000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70" formatCode="0.0000000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70" formatCode="0.0000000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9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19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35" formatCode="_-* #,##0.00_-;\-* #,##0.00_-;_-* &quot;-&quot;??_-;_-@_-"/>
      <fill>
        <patternFill patternType="none">
          <fgColor indexed="64"/>
          <bgColor indexed="65"/>
        </patternFill>
      </fill>
      <border diagonalUp="0" diagonalDown="0">
        <left style="thin">
          <color auto="1"/>
        </left>
        <right/>
        <top style="hair">
          <color auto="1"/>
        </top>
        <bottom style="hair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alignment horizontal="right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hair">
          <color auto="1"/>
        </top>
        <bottom style="hair">
          <color auto="1"/>
        </bottom>
        <vertical/>
        <horizontal/>
      </border>
      <protection locked="0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mmm/yyyy"/>
      <border diagonalUp="0" diagonalDown="0">
        <left/>
        <right style="thin">
          <color auto="1"/>
        </right>
        <top style="hair">
          <color auto="1"/>
        </top>
        <bottom style="hair">
          <color auto="1"/>
        </bottom>
        <vertical/>
        <horizontal/>
      </border>
      <protection locked="0" hidden="1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ctrlProps/ctrlProp1.xml><?xml version="1.0" encoding="utf-8"?>
<formControlPr xmlns="http://schemas.microsoft.com/office/spreadsheetml/2009/9/main" objectType="Drop" dropLines="4" dropStyle="combo" dx="22" fmlaLink="$BU$14" fmlaRange="$BT$14:$BT$17" sel="3" val="0"/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Corre&#231;&#227;o Monet&#225;ria'!A1"/><Relationship Id="rId2" Type="http://schemas.openxmlformats.org/officeDocument/2006/relationships/hyperlink" Target="#'Sal&#225;rio M&#237;nimo'!A1"/><Relationship Id="rId1" Type="http://schemas.openxmlformats.org/officeDocument/2006/relationships/hyperlink" Target="#'C&#225;lculo da Insalubridade'!A1"/><Relationship Id="rId5" Type="http://schemas.openxmlformats.org/officeDocument/2006/relationships/image" Target="../media/image1.png"/><Relationship Id="rId4" Type="http://schemas.openxmlformats.org/officeDocument/2006/relationships/hyperlink" Target="http://www.caltrab.com/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#'Corre&#231;&#227;o Monet&#225;ria'!A1"/><Relationship Id="rId2" Type="http://schemas.openxmlformats.org/officeDocument/2006/relationships/hyperlink" Target="#'Sal&#225;rio M&#237;nimo'!A1"/><Relationship Id="rId1" Type="http://schemas.openxmlformats.org/officeDocument/2006/relationships/hyperlink" Target="#Dados!A1"/><Relationship Id="rId5" Type="http://schemas.openxmlformats.org/officeDocument/2006/relationships/image" Target="../media/image1.png"/><Relationship Id="rId4" Type="http://schemas.openxmlformats.org/officeDocument/2006/relationships/hyperlink" Target="http://www.caltrab.com/" TargetMode="Externa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'Corre&#231;&#227;o Monet&#225;ria'!A1"/><Relationship Id="rId2" Type="http://schemas.openxmlformats.org/officeDocument/2006/relationships/hyperlink" Target="#'C&#225;lculo da Insalubridade'!A1"/><Relationship Id="rId1" Type="http://schemas.openxmlformats.org/officeDocument/2006/relationships/hyperlink" Target="#Dados!A1"/><Relationship Id="rId5" Type="http://schemas.openxmlformats.org/officeDocument/2006/relationships/image" Target="../media/image1.png"/><Relationship Id="rId4" Type="http://schemas.openxmlformats.org/officeDocument/2006/relationships/hyperlink" Target="http://www.caltrab.com/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'Sal&#225;rio M&#237;nimo'!A1"/><Relationship Id="rId2" Type="http://schemas.openxmlformats.org/officeDocument/2006/relationships/hyperlink" Target="#'C&#225;lculo da Insalubridade'!A1"/><Relationship Id="rId1" Type="http://schemas.openxmlformats.org/officeDocument/2006/relationships/hyperlink" Target="#Dados!A1"/><Relationship Id="rId5" Type="http://schemas.openxmlformats.org/officeDocument/2006/relationships/image" Target="../media/image1.png"/><Relationship Id="rId4" Type="http://schemas.openxmlformats.org/officeDocument/2006/relationships/hyperlink" Target="http://www.caltrab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19051</xdr:colOff>
      <xdr:row>2</xdr:row>
      <xdr:rowOff>0</xdr:rowOff>
    </xdr:from>
    <xdr:to>
      <xdr:col>10</xdr:col>
      <xdr:colOff>57152</xdr:colOff>
      <xdr:row>3</xdr:row>
      <xdr:rowOff>20253</xdr:rowOff>
    </xdr:to>
    <xdr:sp macro="" textlink="">
      <xdr:nvSpPr>
        <xdr:cNvPr id="2" name="Retâ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5467351" y="1009650"/>
          <a:ext cx="1571626" cy="401253"/>
        </a:xfrm>
        <a:prstGeom prst="rect">
          <a:avLst/>
        </a:prstGeom>
        <a:solidFill>
          <a:srgbClr val="00B050"/>
        </a:solidFill>
        <a:ln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000">
              <a:latin typeface="Century Gothic" panose="020B0502020202020204" pitchFamily="34" charset="0"/>
            </a:rPr>
            <a:t>Cálculo</a:t>
          </a:r>
          <a:r>
            <a:rPr lang="en-US" sz="1000" baseline="0">
              <a:latin typeface="Century Gothic" panose="020B0502020202020204" pitchFamily="34" charset="0"/>
            </a:rPr>
            <a:t> Insalubridade</a:t>
          </a:r>
          <a:endParaRPr lang="en-US" sz="1000"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10</xdr:col>
      <xdr:colOff>57150</xdr:colOff>
      <xdr:row>2</xdr:row>
      <xdr:rowOff>0</xdr:rowOff>
    </xdr:from>
    <xdr:to>
      <xdr:col>12</xdr:col>
      <xdr:colOff>409575</xdr:colOff>
      <xdr:row>3</xdr:row>
      <xdr:rowOff>20253</xdr:rowOff>
    </xdr:to>
    <xdr:sp macro="" textlink="">
      <xdr:nvSpPr>
        <xdr:cNvPr id="3" name="Retângulo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7038975" y="1009650"/>
          <a:ext cx="1619250" cy="334578"/>
        </a:xfrm>
        <a:prstGeom prst="rect">
          <a:avLst/>
        </a:prstGeom>
        <a:solidFill>
          <a:srgbClr val="00B050"/>
        </a:solidFill>
        <a:ln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000">
              <a:latin typeface="Century Gothic" panose="020B0502020202020204" pitchFamily="34" charset="0"/>
            </a:rPr>
            <a:t>Tabela</a:t>
          </a:r>
          <a:r>
            <a:rPr lang="en-US" sz="1000" baseline="0">
              <a:latin typeface="Century Gothic" panose="020B0502020202020204" pitchFamily="34" charset="0"/>
            </a:rPr>
            <a:t> Salário Mínimo</a:t>
          </a:r>
          <a:endParaRPr lang="en-US" sz="1000"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12</xdr:col>
      <xdr:colOff>400050</xdr:colOff>
      <xdr:row>2</xdr:row>
      <xdr:rowOff>0</xdr:rowOff>
    </xdr:from>
    <xdr:to>
      <xdr:col>13</xdr:col>
      <xdr:colOff>171450</xdr:colOff>
      <xdr:row>3</xdr:row>
      <xdr:rowOff>20253</xdr:rowOff>
    </xdr:to>
    <xdr:sp macro="" textlink="">
      <xdr:nvSpPr>
        <xdr:cNvPr id="4" name="Retângulo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8648700" y="1009650"/>
          <a:ext cx="1352550" cy="334578"/>
        </a:xfrm>
        <a:prstGeom prst="rect">
          <a:avLst/>
        </a:prstGeom>
        <a:solidFill>
          <a:srgbClr val="00B050"/>
        </a:solidFill>
        <a:ln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numCol="1" rtlCol="0" anchor="t"/>
        <a:lstStyle/>
        <a:p>
          <a:pPr algn="ctr"/>
          <a:r>
            <a:rPr lang="en-US" sz="1000">
              <a:latin typeface="Century Gothic" panose="020B0502020202020204" pitchFamily="34" charset="0"/>
            </a:rPr>
            <a:t>Índice</a:t>
          </a:r>
          <a:r>
            <a:rPr lang="en-US" sz="1000" baseline="0">
              <a:latin typeface="Century Gothic" panose="020B0502020202020204" pitchFamily="34" charset="0"/>
            </a:rPr>
            <a:t> TST</a:t>
          </a:r>
          <a:endParaRPr lang="en-US" sz="1000">
            <a:latin typeface="Century Gothic" panose="020B0502020202020204" pitchFamily="34" charset="0"/>
          </a:endParaRPr>
        </a:p>
      </xdr:txBody>
    </xdr:sp>
    <xdr:clientData/>
  </xdr:twoCellAnchor>
  <xdr:twoCellAnchor>
    <xdr:from>
      <xdr:col>12</xdr:col>
      <xdr:colOff>1247775</xdr:colOff>
      <xdr:row>2</xdr:row>
      <xdr:rowOff>0</xdr:rowOff>
    </xdr:from>
    <xdr:to>
      <xdr:col>13</xdr:col>
      <xdr:colOff>0</xdr:colOff>
      <xdr:row>3</xdr:row>
      <xdr:rowOff>20253</xdr:rowOff>
    </xdr:to>
    <xdr:sp macro="" textlink="">
      <xdr:nvSpPr>
        <xdr:cNvPr id="5" name="Retângul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9496425" y="1009650"/>
          <a:ext cx="1276351" cy="334578"/>
        </a:xfrm>
        <a:prstGeom prst="rect">
          <a:avLst/>
        </a:prstGeom>
        <a:noFill/>
        <a:ln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sz="1000">
            <a:latin typeface="Century Gothic" panose="020B0502020202020204" pitchFamily="34" charset="0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18</xdr:row>
          <xdr:rowOff>0</xdr:rowOff>
        </xdr:from>
        <xdr:to>
          <xdr:col>2</xdr:col>
          <xdr:colOff>1390650</xdr:colOff>
          <xdr:row>18</xdr:row>
          <xdr:rowOff>352425</xdr:rowOff>
        </xdr:to>
        <xdr:sp macro="" textlink="">
          <xdr:nvSpPr>
            <xdr:cNvPr id="1025" name="Drop Down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9</xdr:col>
      <xdr:colOff>590549</xdr:colOff>
      <xdr:row>10</xdr:row>
      <xdr:rowOff>4</xdr:rowOff>
    </xdr:from>
    <xdr:to>
      <xdr:col>12</xdr:col>
      <xdr:colOff>9525</xdr:colOff>
      <xdr:row>11</xdr:row>
      <xdr:rowOff>342904</xdr:rowOff>
    </xdr:to>
    <xdr:sp macro="" textlink="">
      <xdr:nvSpPr>
        <xdr:cNvPr id="8" name="Pentágono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 rot="5400000">
          <a:off x="7319962" y="3633791"/>
          <a:ext cx="723900" cy="1438276"/>
        </a:xfrm>
        <a:prstGeom prst="homePlate">
          <a:avLst>
            <a:gd name="adj" fmla="val 21582"/>
          </a:avLst>
        </a:prstGeom>
        <a:solidFill>
          <a:schemeClr val="accent1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rIns="0" rtlCol="0" anchor="t"/>
        <a:lstStyle/>
        <a:p>
          <a:endParaRPr lang="pt-BR"/>
        </a:p>
      </xdr:txBody>
    </xdr:sp>
    <xdr:clientData/>
  </xdr:twoCellAnchor>
  <xdr:twoCellAnchor editAs="oneCell">
    <xdr:from>
      <xdr:col>10</xdr:col>
      <xdr:colOff>47625</xdr:colOff>
      <xdr:row>10</xdr:row>
      <xdr:rowOff>57150</xdr:rowOff>
    </xdr:from>
    <xdr:to>
      <xdr:col>11</xdr:col>
      <xdr:colOff>828675</xdr:colOff>
      <xdr:row>11</xdr:row>
      <xdr:rowOff>171450</xdr:rowOff>
    </xdr:to>
    <xdr:pic>
      <xdr:nvPicPr>
        <xdr:cNvPr id="9" name="Imagem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7029450" y="4048125"/>
          <a:ext cx="127635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0</xdr:colOff>
      <xdr:row>1</xdr:row>
      <xdr:rowOff>0</xdr:rowOff>
    </xdr:from>
    <xdr:to>
      <xdr:col>18</xdr:col>
      <xdr:colOff>253412</xdr:colOff>
      <xdr:row>2</xdr:row>
      <xdr:rowOff>158750</xdr:rowOff>
    </xdr:to>
    <xdr:sp macro="" textlink="">
      <xdr:nvSpPr>
        <xdr:cNvPr id="2" name="Retângulo: Cantos Arredondado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4287500" y="164630"/>
          <a:ext cx="1476375" cy="476250"/>
        </a:xfrm>
        <a:prstGeom prst="roundRect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200" b="1">
              <a:solidFill>
                <a:sysClr val="windowText" lastClr="000000"/>
              </a:solidFill>
            </a:rPr>
            <a:t>Dados</a:t>
          </a:r>
        </a:p>
      </xdr:txBody>
    </xdr:sp>
    <xdr:clientData/>
  </xdr:twoCellAnchor>
  <xdr:oneCellAnchor>
    <xdr:from>
      <xdr:col>18</xdr:col>
      <xdr:colOff>305740</xdr:colOff>
      <xdr:row>0</xdr:row>
      <xdr:rowOff>152474</xdr:rowOff>
    </xdr:from>
    <xdr:ext cx="1476375" cy="500563"/>
    <xdr:sp macro="" textlink="">
      <xdr:nvSpPr>
        <xdr:cNvPr id="3" name="Retângulo: Cantos Arredondado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5816203" y="152474"/>
          <a:ext cx="1476375" cy="500563"/>
        </a:xfrm>
        <a:prstGeom prst="roundRect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spAutoFit/>
        </a:bodyPr>
        <a:lstStyle/>
        <a:p>
          <a:pPr algn="ctr"/>
          <a:r>
            <a:rPr lang="pt-BR" sz="1200" b="0">
              <a:solidFill>
                <a:sysClr val="windowText" lastClr="000000"/>
              </a:solidFill>
            </a:rPr>
            <a:t>Tabela</a:t>
          </a:r>
          <a:r>
            <a:rPr lang="pt-BR" sz="1100" b="0" baseline="0"/>
            <a:t> </a:t>
          </a:r>
          <a:r>
            <a:rPr lang="pt-BR" sz="1100" b="0" baseline="0">
              <a:solidFill>
                <a:sysClr val="windowText" lastClr="000000"/>
              </a:solidFill>
            </a:rPr>
            <a:t>Salário Mínimo</a:t>
          </a:r>
          <a:endParaRPr lang="pt-BR" sz="1100" b="0">
            <a:solidFill>
              <a:sysClr val="windowText" lastClr="000000"/>
            </a:solidFill>
          </a:endParaRPr>
        </a:p>
      </xdr:txBody>
    </xdr:sp>
    <xdr:clientData/>
  </xdr:oneCellAnchor>
  <xdr:oneCellAnchor>
    <xdr:from>
      <xdr:col>21</xdr:col>
      <xdr:colOff>11760</xdr:colOff>
      <xdr:row>0</xdr:row>
      <xdr:rowOff>143819</xdr:rowOff>
    </xdr:from>
    <xdr:ext cx="1476375" cy="517872"/>
    <xdr:sp macro="" textlink="">
      <xdr:nvSpPr>
        <xdr:cNvPr id="4" name="Retângulo: Cantos Arredondado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17356667" y="143819"/>
          <a:ext cx="1476375" cy="517872"/>
        </a:xfrm>
        <a:prstGeom prst="roundRect">
          <a:avLst/>
        </a:prstGeom>
        <a:solidFill>
          <a:schemeClr val="accent5">
            <a:lumMod val="40000"/>
            <a:lumOff val="6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spAutoFit/>
        </a:bodyPr>
        <a:lstStyle/>
        <a:p>
          <a:pPr algn="ctr"/>
          <a:r>
            <a:rPr lang="pt-BR" sz="1200" b="1">
              <a:solidFill>
                <a:sysClr val="windowText" lastClr="000000"/>
              </a:solidFill>
            </a:rPr>
            <a:t>Correção</a:t>
          </a:r>
          <a:r>
            <a:rPr lang="pt-BR" sz="1200">
              <a:solidFill>
                <a:sysClr val="windowText" lastClr="000000"/>
              </a:solidFill>
            </a:rPr>
            <a:t> Monetária</a:t>
          </a:r>
        </a:p>
      </xdr:txBody>
    </xdr:sp>
    <xdr:clientData/>
  </xdr:oneCellAnchor>
  <xdr:twoCellAnchor>
    <xdr:from>
      <xdr:col>0</xdr:col>
      <xdr:colOff>811389</xdr:colOff>
      <xdr:row>32</xdr:row>
      <xdr:rowOff>23522</xdr:rowOff>
    </xdr:from>
    <xdr:to>
      <xdr:col>1</xdr:col>
      <xdr:colOff>1446389</xdr:colOff>
      <xdr:row>36</xdr:row>
      <xdr:rowOff>141114</xdr:rowOff>
    </xdr:to>
    <xdr:sp macro="" textlink="">
      <xdr:nvSpPr>
        <xdr:cNvPr id="6" name="Pentágono 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 rot="5400000">
          <a:off x="1322917" y="6614587"/>
          <a:ext cx="1011295" cy="2034352"/>
        </a:xfrm>
        <a:prstGeom prst="homePlate">
          <a:avLst>
            <a:gd name="adj" fmla="val 21582"/>
          </a:avLst>
        </a:prstGeom>
        <a:solidFill>
          <a:schemeClr val="accent1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rIns="0" rtlCol="0" anchor="t"/>
        <a:lstStyle/>
        <a:p>
          <a:endParaRPr lang="pt-BR"/>
        </a:p>
      </xdr:txBody>
    </xdr:sp>
    <xdr:clientData/>
  </xdr:twoCellAnchor>
  <xdr:twoCellAnchor editAs="oneCell">
    <xdr:from>
      <xdr:col>0</xdr:col>
      <xdr:colOff>1258240</xdr:colOff>
      <xdr:row>33</xdr:row>
      <xdr:rowOff>58795</xdr:rowOff>
    </xdr:from>
    <xdr:to>
      <xdr:col>1</xdr:col>
      <xdr:colOff>1135238</xdr:colOff>
      <xdr:row>35</xdr:row>
      <xdr:rowOff>107244</xdr:rowOff>
    </xdr:to>
    <xdr:pic>
      <xdr:nvPicPr>
        <xdr:cNvPr id="7" name="Imagem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1CAD207D-FEC1-4220-8EF3-9343CA94A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258240" y="6279443"/>
          <a:ext cx="127635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3</xdr:rowOff>
    </xdr:from>
    <xdr:to>
      <xdr:col>1</xdr:col>
      <xdr:colOff>9528</xdr:colOff>
      <xdr:row>3</xdr:row>
      <xdr:rowOff>171454</xdr:rowOff>
    </xdr:to>
    <xdr:sp macro="" textlink="">
      <xdr:nvSpPr>
        <xdr:cNvPr id="6" name="Pentágono 1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 rot="5400000">
          <a:off x="328614" y="-328610"/>
          <a:ext cx="714376" cy="1371602"/>
        </a:xfrm>
        <a:prstGeom prst="homePlate">
          <a:avLst>
            <a:gd name="adj" fmla="val 21582"/>
          </a:avLst>
        </a:prstGeom>
        <a:solidFill>
          <a:schemeClr val="accent1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rIns="0" rtlCol="0" anchor="t"/>
        <a:lstStyle/>
        <a:p>
          <a:endParaRPr lang="pt-BR"/>
        </a:p>
      </xdr:txBody>
    </xdr:sp>
    <xdr:clientData/>
  </xdr:twoCellAnchor>
  <xdr:twoCellAnchor>
    <xdr:from>
      <xdr:col>13</xdr:col>
      <xdr:colOff>0</xdr:colOff>
      <xdr:row>1</xdr:row>
      <xdr:rowOff>0</xdr:rowOff>
    </xdr:from>
    <xdr:to>
      <xdr:col>14</xdr:col>
      <xdr:colOff>619125</xdr:colOff>
      <xdr:row>3</xdr:row>
      <xdr:rowOff>95250</xdr:rowOff>
    </xdr:to>
    <xdr:sp macro="" textlink="">
      <xdr:nvSpPr>
        <xdr:cNvPr id="2" name="Retângulo: Cantos Arredondado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8115300" y="161925"/>
          <a:ext cx="1476375" cy="476250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200" b="1">
              <a:solidFill>
                <a:sysClr val="windowText" lastClr="000000"/>
              </a:solidFill>
            </a:rPr>
            <a:t>Dados</a:t>
          </a:r>
        </a:p>
      </xdr:txBody>
    </xdr:sp>
    <xdr:clientData/>
  </xdr:twoCellAnchor>
  <xdr:oneCellAnchor>
    <xdr:from>
      <xdr:col>14</xdr:col>
      <xdr:colOff>647700</xdr:colOff>
      <xdr:row>0</xdr:row>
      <xdr:rowOff>159294</xdr:rowOff>
    </xdr:from>
    <xdr:ext cx="1476375" cy="500563"/>
    <xdr:sp macro="" textlink="">
      <xdr:nvSpPr>
        <xdr:cNvPr id="3" name="Retângulo: Cantos Arredondado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9620250" y="159294"/>
          <a:ext cx="1476375" cy="500563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spAutoFit/>
        </a:bodyPr>
        <a:lstStyle/>
        <a:p>
          <a:pPr algn="ctr"/>
          <a:r>
            <a:rPr lang="pt-BR" sz="1200" b="1">
              <a:solidFill>
                <a:sysClr val="windowText" lastClr="000000"/>
              </a:solidFill>
            </a:rPr>
            <a:t>Cálculo</a:t>
          </a:r>
          <a:r>
            <a:rPr lang="pt-BR" sz="1100" baseline="0"/>
            <a:t> </a:t>
          </a:r>
          <a:r>
            <a:rPr lang="pt-BR" sz="1100" b="1" baseline="0">
              <a:solidFill>
                <a:sysClr val="windowText" lastClr="000000"/>
              </a:solidFill>
            </a:rPr>
            <a:t>Insalubridade</a:t>
          </a:r>
          <a:endParaRPr lang="pt-BR" sz="1100" b="1">
            <a:solidFill>
              <a:sysClr val="windowText" lastClr="000000"/>
            </a:solidFill>
          </a:endParaRPr>
        </a:p>
      </xdr:txBody>
    </xdr:sp>
    <xdr:clientData/>
  </xdr:oneCellAnchor>
  <xdr:twoCellAnchor>
    <xdr:from>
      <xdr:col>17</xdr:col>
      <xdr:colOff>247650</xdr:colOff>
      <xdr:row>1</xdr:row>
      <xdr:rowOff>0</xdr:rowOff>
    </xdr:from>
    <xdr:to>
      <xdr:col>19</xdr:col>
      <xdr:colOff>438150</xdr:colOff>
      <xdr:row>3</xdr:row>
      <xdr:rowOff>95250</xdr:rowOff>
    </xdr:to>
    <xdr:sp macro="" textlink="">
      <xdr:nvSpPr>
        <xdr:cNvPr id="4" name="Retângulo: Cantos Arredondado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11134725" y="161925"/>
          <a:ext cx="1476375" cy="476250"/>
        </a:xfrm>
        <a:prstGeom prst="round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200" b="1">
              <a:solidFill>
                <a:sysClr val="windowText" lastClr="000000"/>
              </a:solidFill>
            </a:rPr>
            <a:t>Correção</a:t>
          </a:r>
          <a:r>
            <a:rPr lang="pt-BR" sz="1100" b="1" baseline="0">
              <a:solidFill>
                <a:sysClr val="windowText" lastClr="000000"/>
              </a:solidFill>
            </a:rPr>
            <a:t> Monetária</a:t>
          </a:r>
          <a:endParaRPr lang="pt-BR" sz="1100" b="1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38100</xdr:colOff>
      <xdr:row>0</xdr:row>
      <xdr:rowOff>57150</xdr:rowOff>
    </xdr:from>
    <xdr:to>
      <xdr:col>0</xdr:col>
      <xdr:colOff>1314450</xdr:colOff>
      <xdr:row>3</xdr:row>
      <xdr:rowOff>9525</xdr:rowOff>
    </xdr:to>
    <xdr:pic>
      <xdr:nvPicPr>
        <xdr:cNvPr id="5" name="Imagem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8100" y="57150"/>
          <a:ext cx="127635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161925</xdr:colOff>
      <xdr:row>2</xdr:row>
      <xdr:rowOff>19050</xdr:rowOff>
    </xdr:from>
    <xdr:to>
      <xdr:col>13</xdr:col>
      <xdr:colOff>85725</xdr:colOff>
      <xdr:row>5</xdr:row>
      <xdr:rowOff>9525</xdr:rowOff>
    </xdr:to>
    <xdr:sp macro="" textlink="">
      <xdr:nvSpPr>
        <xdr:cNvPr id="2" name="Retângulo: Cantos Arredondado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9391650" y="381000"/>
          <a:ext cx="1476375" cy="476250"/>
        </a:xfrm>
        <a:prstGeom prst="roundRect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/>
            <a:t> Dados</a:t>
          </a:r>
        </a:p>
      </xdr:txBody>
    </xdr:sp>
    <xdr:clientData/>
  </xdr:twoCellAnchor>
  <xdr:twoCellAnchor>
    <xdr:from>
      <xdr:col>13</xdr:col>
      <xdr:colOff>114300</xdr:colOff>
      <xdr:row>2</xdr:row>
      <xdr:rowOff>19050</xdr:rowOff>
    </xdr:from>
    <xdr:to>
      <xdr:col>15</xdr:col>
      <xdr:colOff>371475</xdr:colOff>
      <xdr:row>5</xdr:row>
      <xdr:rowOff>9525</xdr:rowOff>
    </xdr:to>
    <xdr:sp macro="" textlink="">
      <xdr:nvSpPr>
        <xdr:cNvPr id="3" name="Retângulo: Cantos Arredondado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/>
      </xdr:nvSpPr>
      <xdr:spPr>
        <a:xfrm>
          <a:off x="10896600" y="381000"/>
          <a:ext cx="1476375" cy="476250"/>
        </a:xfrm>
        <a:prstGeom prst="roundRect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100" b="1"/>
            <a:t>Cálculo</a:t>
          </a:r>
          <a:r>
            <a:rPr lang="pt-BR" sz="1100" b="1" baseline="0"/>
            <a:t> Insalubridade</a:t>
          </a:r>
          <a:endParaRPr lang="pt-BR" sz="1100" b="1"/>
        </a:p>
      </xdr:txBody>
    </xdr:sp>
    <xdr:clientData/>
  </xdr:twoCellAnchor>
  <xdr:oneCellAnchor>
    <xdr:from>
      <xdr:col>15</xdr:col>
      <xdr:colOff>400050</xdr:colOff>
      <xdr:row>2</xdr:row>
      <xdr:rowOff>15549</xdr:rowOff>
    </xdr:from>
    <xdr:ext cx="1476375" cy="565476"/>
    <xdr:sp macro="" textlink="">
      <xdr:nvSpPr>
        <xdr:cNvPr id="4" name="Retângulo: Cantos Arredondado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/>
      </xdr:nvSpPr>
      <xdr:spPr>
        <a:xfrm>
          <a:off x="11744325" y="406074"/>
          <a:ext cx="1476375" cy="565476"/>
        </a:xfrm>
        <a:prstGeom prst="roundRect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>
          <a:noAutofit/>
        </a:bodyPr>
        <a:lstStyle/>
        <a:p>
          <a:pPr algn="ctr"/>
          <a:r>
            <a:rPr lang="pt-BR" sz="1100"/>
            <a:t>Tabela Salário</a:t>
          </a:r>
          <a:r>
            <a:rPr lang="pt-BR" sz="1100" baseline="0"/>
            <a:t> Mínimo</a:t>
          </a:r>
          <a:endParaRPr lang="pt-BR" sz="1100"/>
        </a:p>
      </xdr:txBody>
    </xdr:sp>
    <xdr:clientData/>
  </xdr:oneCellAnchor>
  <xdr:twoCellAnchor>
    <xdr:from>
      <xdr:col>0</xdr:col>
      <xdr:colOff>0</xdr:colOff>
      <xdr:row>0</xdr:row>
      <xdr:rowOff>0</xdr:rowOff>
    </xdr:from>
    <xdr:to>
      <xdr:col>1</xdr:col>
      <xdr:colOff>28575</xdr:colOff>
      <xdr:row>4</xdr:row>
      <xdr:rowOff>104777</xdr:rowOff>
    </xdr:to>
    <xdr:sp macro="" textlink="">
      <xdr:nvSpPr>
        <xdr:cNvPr id="5" name="Pentágono 1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/>
      </xdr:nvSpPr>
      <xdr:spPr>
        <a:xfrm rot="5400000">
          <a:off x="261936" y="-261936"/>
          <a:ext cx="790577" cy="1314450"/>
        </a:xfrm>
        <a:prstGeom prst="homePlate">
          <a:avLst>
            <a:gd name="adj" fmla="val 21582"/>
          </a:avLst>
        </a:prstGeom>
        <a:solidFill>
          <a:schemeClr val="accent1">
            <a:lumMod val="40000"/>
            <a:lumOff val="6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rIns="0" rtlCol="0" anchor="t"/>
        <a:lstStyle/>
        <a:p>
          <a:endParaRPr lang="pt-BR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1276350</xdr:colOff>
      <xdr:row>2</xdr:row>
      <xdr:rowOff>104775</xdr:rowOff>
    </xdr:to>
    <xdr:pic>
      <xdr:nvPicPr>
        <xdr:cNvPr id="6" name="Imagem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0" y="0"/>
          <a:ext cx="127635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C5F7425-2D18-4824-A7C2-7A071B430F28}" name="tbl_SalarioMinimo" displayName="tbl_SalarioMinimo" ref="B4:D401" totalsRowShown="0" tableBorderDxfId="13">
  <autoFilter ref="B4:D401" xr:uid="{DC5F7425-2D18-4824-A7C2-7A071B430F28}"/>
  <tableColumns count="3">
    <tableColumn id="1" xr3:uid="{04F2375E-9FA8-4F9A-8965-840AD39D1AA6}" name="MÊS/ANO" dataDxfId="12" dataCellStyle="Normal 7"/>
    <tableColumn id="2" xr3:uid="{7506C86C-42AE-4E97-A677-BA5C04FD6EB2}" name="MOEDA" dataDxfId="11" dataCellStyle="Normal 7"/>
    <tableColumn id="3" xr3:uid="{003217E9-F6C8-4A02-8841-371F5A6109F7}" name="SAL. MÍNIMO" dataDxfId="10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71E1231D-6DA0-404D-B8FB-89015057818F}" name="tbl_CorrecaoMonetaria" displayName="tbl_CorrecaoMonetaria" ref="B2:I386" totalsRowShown="0" headerRowDxfId="9" dataDxfId="8">
  <autoFilter ref="B2:I386" xr:uid="{71E1231D-6DA0-404D-B8FB-89015057818F}"/>
  <tableColumns count="8">
    <tableColumn id="1" xr3:uid="{A6B963E7-5BDB-4C2C-974F-DDC98114ACC9}" name="Mês Sub" dataDxfId="7"/>
    <tableColumn id="2" xr3:uid="{9DA66F9B-4BCA-478E-81FF-7F1946D936F7}" name="Data" dataDxfId="6"/>
    <tableColumn id="3" xr3:uid="{73040767-4AD4-4578-A1F0-38CEBD7B948C}" name="Índice" dataDxfId="5">
      <calculatedColumnFormula>VLOOKUP(C3,C:I,IF(índice_cm=1,4,IF(índice_cm=2,5,IF(índice_cm=3,6,7))),0)</calculatedColumnFormula>
    </tableColumn>
    <tableColumn id="4" xr3:uid="{43242F5B-8063-4BEE-B667-A2C795221124}" name="Moeda" dataDxfId="4"/>
    <tableColumn id="5" xr3:uid="{B8114A9F-E8ED-4A4E-8FC2-121FAB4E2F97}" name="TR" dataDxfId="3"/>
    <tableColumn id="6" xr3:uid="{57A6E58B-47E7-4C63-B226-67948EEB6F43}" name="TR/IPCA-E 03/2015" dataDxfId="2"/>
    <tableColumn id="7" xr3:uid="{5044B3A4-977A-4785-9106-083EC6746820}" name="IPCA-E" dataDxfId="1"/>
    <tableColumn id="8" xr3:uid="{1332A3CB-BA01-4C8D-9970-48BF6783739F}" name="SELIC SIMPLE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3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D2BF7F42-C98A-45BF-98FD-E2F4E320A276}">
  <we:reference id="wa200009404" version="1.0.0.8" store="pt-BR" storeType="OMEX"/>
  <we:alternateReferences>
    <we:reference id="WA200009404" version="1.0.0.8" store="" storeType="OMEX"/>
  </we:alternateReferences>
  <we:properties>
    <we:property name="claude.fileId" value="&quot;4fa661fd-a2fb-4b52-abe9-72e0d7de8c23&quot;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omments" Target="../comments1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10410-F87E-4594-8373-99B1CE634594}">
  <sheetPr codeName="Planilha1">
    <tabColor rgb="FF808080"/>
  </sheetPr>
  <dimension ref="A1:CA137"/>
  <sheetViews>
    <sheetView showGridLines="0" tabSelected="1" workbookViewId="0">
      <selection activeCell="S20" sqref="S20"/>
    </sheetView>
  </sheetViews>
  <sheetFormatPr defaultColWidth="0" defaultRowHeight="15" zeroHeight="1" x14ac:dyDescent="0.25"/>
  <cols>
    <col min="1" max="1" width="3.7109375" style="15" customWidth="1"/>
    <col min="2" max="2" width="18.7109375" style="15" customWidth="1"/>
    <col min="3" max="3" width="40.7109375" style="15" customWidth="1"/>
    <col min="4" max="4" width="4.42578125" style="15" customWidth="1"/>
    <col min="5" max="8" width="4.7109375" style="15" customWidth="1"/>
    <col min="9" max="10" width="9.140625" style="15" customWidth="1"/>
    <col min="11" max="11" width="7.42578125" style="15" customWidth="1"/>
    <col min="12" max="12" width="13.7109375" style="15" customWidth="1"/>
    <col min="13" max="13" width="19" style="15" customWidth="1"/>
    <col min="14" max="19" width="4.7109375" style="15" customWidth="1"/>
    <col min="20" max="34" width="4.7109375" style="15" hidden="1" customWidth="1"/>
    <col min="35" max="36" width="9.140625" style="15" hidden="1" customWidth="1"/>
    <col min="37" max="38" width="10.7109375" style="15" hidden="1" customWidth="1"/>
    <col min="39" max="47" width="9.140625" style="15" hidden="1" customWidth="1"/>
    <col min="48" max="48" width="11.42578125" style="15" hidden="1" customWidth="1"/>
    <col min="49" max="49" width="9.85546875" style="15" hidden="1" customWidth="1"/>
    <col min="50" max="50" width="9.140625" style="15" hidden="1" customWidth="1"/>
    <col min="51" max="51" width="4" style="15" hidden="1" customWidth="1"/>
    <col min="52" max="52" width="21.28515625" style="15" hidden="1" customWidth="1"/>
    <col min="53" max="53" width="9.140625" style="15" hidden="1" customWidth="1"/>
    <col min="54" max="54" width="23.28515625" style="15" hidden="1" customWidth="1"/>
    <col min="55" max="60" width="10.7109375" style="15" hidden="1" customWidth="1"/>
    <col min="61" max="61" width="11.140625" style="15" hidden="1" customWidth="1"/>
    <col min="62" max="64" width="10.7109375" style="15" hidden="1" customWidth="1"/>
    <col min="65" max="65" width="12.28515625" style="15" hidden="1" customWidth="1"/>
    <col min="66" max="66" width="2" style="15" hidden="1" customWidth="1"/>
    <col min="67" max="68" width="10.7109375" style="15" hidden="1" customWidth="1"/>
    <col min="69" max="69" width="11.140625" style="15" hidden="1" customWidth="1"/>
    <col min="70" max="70" width="9.140625" style="15" hidden="1" customWidth="1"/>
    <col min="71" max="74" width="10.7109375" style="15" hidden="1" customWidth="1"/>
    <col min="75" max="78" width="9.140625" style="15" hidden="1" customWidth="1"/>
    <col min="79" max="79" width="22.140625" style="15" hidden="1" customWidth="1"/>
    <col min="80" max="16384" width="9.140625" style="15" hidden="1"/>
  </cols>
  <sheetData>
    <row r="1" spans="1:76" ht="24.95" customHeight="1" thickBot="1" x14ac:dyDescent="0.3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</row>
    <row r="2" spans="1:76" ht="54.75" customHeight="1" thickBot="1" x14ac:dyDescent="0.3">
      <c r="A2" s="193" t="s">
        <v>60</v>
      </c>
      <c r="B2" s="194"/>
      <c r="C2" s="195"/>
      <c r="S2" s="14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7"/>
    </row>
    <row r="3" spans="1:76" ht="24.95" customHeight="1" thickBot="1" x14ac:dyDescent="0.3">
      <c r="A3" s="18"/>
      <c r="B3" s="19" t="s">
        <v>18</v>
      </c>
      <c r="C3" s="69">
        <f>atualiza</f>
        <v>46174</v>
      </c>
      <c r="D3" s="20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S3" s="14"/>
      <c r="AI3" s="196"/>
      <c r="AJ3" s="196"/>
      <c r="AK3" s="196"/>
      <c r="AL3" s="196"/>
      <c r="AM3" s="196"/>
      <c r="AN3" s="196"/>
      <c r="AO3" s="196"/>
      <c r="AP3" s="196"/>
      <c r="AQ3" s="196"/>
      <c r="AR3" s="196"/>
      <c r="AS3" s="196"/>
      <c r="AT3" s="196"/>
      <c r="AU3" s="196"/>
      <c r="AV3" s="196"/>
      <c r="AW3" s="196"/>
      <c r="AX3" s="196"/>
      <c r="AZ3" s="197"/>
      <c r="BA3" s="197"/>
      <c r="BB3" s="197"/>
      <c r="BC3" s="197"/>
      <c r="BD3" s="197"/>
      <c r="BE3" s="197"/>
      <c r="BF3" s="197"/>
      <c r="BG3" s="197"/>
      <c r="BH3" s="197"/>
      <c r="BK3" s="85" t="s">
        <v>19</v>
      </c>
      <c r="BL3" s="21" t="s">
        <v>20</v>
      </c>
      <c r="BM3" s="22" t="s">
        <v>21</v>
      </c>
      <c r="BN3" s="23"/>
    </row>
    <row r="4" spans="1:76" ht="30" customHeight="1" thickBot="1" x14ac:dyDescent="0.3">
      <c r="A4" s="18"/>
      <c r="B4" s="24" t="s">
        <v>22</v>
      </c>
      <c r="C4" s="229" t="s">
        <v>62</v>
      </c>
      <c r="S4" s="14"/>
      <c r="AI4" s="198"/>
      <c r="AJ4" s="198"/>
      <c r="AK4" s="198"/>
      <c r="AL4" s="198"/>
      <c r="AM4" s="198"/>
      <c r="AN4" s="198"/>
      <c r="AO4" s="198"/>
      <c r="AP4" s="198"/>
      <c r="AQ4" s="198"/>
      <c r="AR4" s="198"/>
      <c r="AS4" s="198"/>
      <c r="AT4" s="198"/>
      <c r="AU4" s="198"/>
      <c r="AV4" s="198"/>
      <c r="AW4" s="198"/>
      <c r="AX4" s="198"/>
      <c r="AY4" s="25"/>
      <c r="AZ4" s="199"/>
      <c r="BA4" s="199"/>
      <c r="BB4" s="199"/>
      <c r="BC4" s="77"/>
      <c r="BD4" s="77"/>
      <c r="BE4" s="77"/>
      <c r="BF4" s="77"/>
      <c r="BG4" s="77"/>
      <c r="BH4" s="77"/>
      <c r="BK4" s="86">
        <v>90</v>
      </c>
      <c r="BL4" s="26">
        <v>0.1</v>
      </c>
      <c r="BM4" s="27">
        <v>0</v>
      </c>
      <c r="BN4" s="28"/>
      <c r="BO4" s="187" t="s">
        <v>23</v>
      </c>
      <c r="BP4" s="188"/>
      <c r="BQ4" s="189"/>
    </row>
    <row r="5" spans="1:76" ht="30" customHeight="1" thickBot="1" x14ac:dyDescent="0.3">
      <c r="A5" s="18"/>
      <c r="B5" s="29" t="s">
        <v>24</v>
      </c>
      <c r="C5" s="229" t="s">
        <v>46</v>
      </c>
      <c r="K5" s="201">
        <f ca="1">TODAY()</f>
        <v>46180</v>
      </c>
      <c r="L5" s="201"/>
      <c r="S5" s="14"/>
      <c r="AI5" s="77"/>
      <c r="AJ5" s="77"/>
      <c r="AK5" s="77"/>
      <c r="AL5" s="77"/>
      <c r="AM5" s="77"/>
      <c r="AN5" s="77"/>
      <c r="AO5" s="77"/>
      <c r="AP5" s="77"/>
      <c r="AQ5" s="77"/>
      <c r="AR5" s="77"/>
      <c r="AS5" s="77"/>
      <c r="AT5" s="77"/>
      <c r="AU5" s="77"/>
      <c r="AV5" s="77"/>
      <c r="AW5" s="77"/>
      <c r="AX5" s="77"/>
      <c r="AZ5" s="200"/>
      <c r="BA5" s="89"/>
      <c r="BB5" s="44"/>
      <c r="BC5" s="90"/>
      <c r="BD5" s="35"/>
      <c r="BE5" s="35"/>
      <c r="BF5" s="35"/>
      <c r="BG5" s="35"/>
      <c r="BH5" s="35"/>
      <c r="BK5" s="87">
        <v>120</v>
      </c>
      <c r="BL5" s="30">
        <v>0.2</v>
      </c>
      <c r="BM5" s="31">
        <v>0.1</v>
      </c>
      <c r="BN5" s="28"/>
      <c r="BO5" s="32">
        <v>1</v>
      </c>
      <c r="BP5" s="33">
        <f>DATE(YEAR(iniférias),MONTH(iniférias),1)</f>
        <v>44044</v>
      </c>
      <c r="BQ5" s="34" t="str">
        <f>IF(BP5="","",CONCATENATE(YEAR(BP5)," - ",YEAR(BP5)+1))</f>
        <v>2020 - 2021</v>
      </c>
      <c r="BS5" s="35">
        <f>IF(AND(prescrição=admissão,YEAR(prescrição)=YEAR(admissão)),admissão,DATE(YEAR(prescrição),1,1))</f>
        <v>44197</v>
      </c>
      <c r="BT5" s="35">
        <f>dispensa</f>
        <v>46112</v>
      </c>
      <c r="BU5" s="35"/>
      <c r="BV5" s="35"/>
    </row>
    <row r="6" spans="1:76" ht="30" customHeight="1" x14ac:dyDescent="0.25">
      <c r="A6" s="18"/>
      <c r="B6" s="29" t="s">
        <v>26</v>
      </c>
      <c r="C6" s="229" t="s">
        <v>27</v>
      </c>
      <c r="K6" s="202">
        <f ca="1">TODAY()</f>
        <v>46180</v>
      </c>
      <c r="L6" s="203"/>
      <c r="S6" s="14"/>
      <c r="AI6" s="78"/>
      <c r="AJ6" s="79"/>
      <c r="AK6" s="80"/>
      <c r="AL6" s="80"/>
      <c r="AM6" s="78"/>
      <c r="AN6" s="78"/>
      <c r="AO6" s="78"/>
      <c r="AP6" s="78"/>
      <c r="AQ6" s="78"/>
      <c r="AR6" s="78"/>
      <c r="AS6" s="78"/>
      <c r="AT6" s="78"/>
      <c r="AU6" s="81"/>
      <c r="AV6" s="78"/>
      <c r="AW6" s="81"/>
      <c r="AX6" s="78"/>
      <c r="AY6" s="36" t="s">
        <v>28</v>
      </c>
      <c r="AZ6" s="200"/>
      <c r="BA6" s="89"/>
      <c r="BB6" s="44"/>
      <c r="BC6" s="35"/>
      <c r="BD6" s="35"/>
      <c r="BE6" s="35"/>
      <c r="BF6" s="35"/>
      <c r="BG6" s="35"/>
      <c r="BH6" s="35"/>
      <c r="BK6" s="87">
        <v>150</v>
      </c>
      <c r="BL6" s="30">
        <v>0.4</v>
      </c>
      <c r="BM6" s="31">
        <v>0.2</v>
      </c>
      <c r="BO6" s="37">
        <f>BO5+1</f>
        <v>2</v>
      </c>
      <c r="BP6" s="38">
        <f t="shared" ref="BP6" si="0">IF(ISERROR(EDATE(BP5,1)),"",IF(OR(EDATE(BP5,1)&gt;EOMONTH(fim,0),BP5=""),"",EDATE(BP5,1)))</f>
        <v>44075</v>
      </c>
      <c r="BQ6" s="39" t="str">
        <f>IF(BP6="","",BQ5)</f>
        <v>2020 - 2021</v>
      </c>
      <c r="BU6" s="15">
        <f>YEAR(BS5)</f>
        <v>2021</v>
      </c>
      <c r="BV6" s="15">
        <f>IF(OR($BT5="",YEAR($BS5)&gt;BU6,YEAR($BT5)&lt;BU6),"",DATEDIF(MAX(("31/12/"&amp;BU6-1)*1,IF(DATE(YEAR($BS5),MONTH($BS5)+1,1)-$BS5&gt;=15,DATE(YEAR($BS5),MONTH($BS5),1)-1,$BS5)),MIN(("31/12/"&amp;BU6)*1,IF($BT5-DATE(YEAR($BT5),MONTH($BT5),1)+1&gt;=15,DATE(YEAR($BT5),MONTH($BT5)+1,1),$BT5)),"m"))</f>
        <v>12</v>
      </c>
      <c r="BX6" s="15">
        <f ca="1">OFFSET(A$2,COUNTA(A:A)-ROWS($1:1)-1,0)</f>
        <v>0</v>
      </c>
    </row>
    <row r="7" spans="1:76" ht="30" customHeight="1" thickBot="1" x14ac:dyDescent="0.3">
      <c r="A7" s="18"/>
      <c r="B7" s="40" t="s">
        <v>29</v>
      </c>
      <c r="C7" s="229" t="s">
        <v>30</v>
      </c>
      <c r="K7" s="204"/>
      <c r="L7" s="205"/>
      <c r="S7" s="14"/>
      <c r="AI7" s="82"/>
      <c r="AJ7" s="83"/>
      <c r="AK7" s="84"/>
      <c r="AL7" s="84"/>
      <c r="AM7" s="82"/>
      <c r="AN7" s="82"/>
      <c r="AO7" s="82"/>
      <c r="AP7" s="82"/>
      <c r="AQ7" s="82"/>
      <c r="AR7" s="82"/>
      <c r="AS7" s="82"/>
      <c r="AT7" s="82"/>
      <c r="AU7" s="81"/>
      <c r="AV7" s="82"/>
      <c r="AW7" s="81"/>
      <c r="AX7" s="82"/>
      <c r="AY7" s="41" t="str" cm="1">
        <f t="array" aca="1" ref="AY7" ca="1">IF(AJ7="","",SUMPRODUCT((WEEKDAY(ROW(INDIRECT(AK7&amp;":"&amp;AL7)),2)&lt;7)*(COUNTIF(fer_1,ROW(INDIRECT(AK7&amp;":"&amp;AL7)))=0)))</f>
        <v/>
      </c>
      <c r="AZ7" s="200"/>
      <c r="BA7" s="89"/>
      <c r="BB7" s="44"/>
      <c r="BC7" s="35"/>
      <c r="BD7" s="35"/>
      <c r="BE7" s="35"/>
      <c r="BF7" s="35"/>
      <c r="BG7" s="35"/>
      <c r="BH7" s="35"/>
      <c r="BK7" s="87">
        <v>180</v>
      </c>
      <c r="BL7" s="30">
        <v>0.8</v>
      </c>
      <c r="BM7" s="31">
        <v>0.02</v>
      </c>
      <c r="BO7" s="37">
        <f t="shared" ref="BO7:BO71" si="1">BO6+1</f>
        <v>3</v>
      </c>
      <c r="BP7" s="38">
        <f t="shared" ref="BP7" si="2">IF(ISERROR(EDATE(BP6,1)),"",IF(OR(EDATE(BP6,1)&gt;EOMONTH(fim,0),BP6=""),"",EDATE(BP6,1)))</f>
        <v>44105</v>
      </c>
      <c r="BQ7" s="39" t="str">
        <f t="shared" ref="BQ7:BQ12" si="3">IF(BP7="","",BQ6)</f>
        <v>2020 - 2021</v>
      </c>
      <c r="BU7" s="42">
        <f>IF(BU6+1&lt;=YEAR(dispensa),BU6+1,"")</f>
        <v>2022</v>
      </c>
      <c r="BV7" s="15">
        <f>IF(OR($BT$5="",YEAR($BS$5)&gt;BU7,YEAR($BT$5)&lt;BU7),"",DATEDIF(MAX(("31/12/"&amp;BU7-1)*1,IF(DATE(YEAR($BS$5),MONTH($BS$5)+1,1)-$BS$5&gt;=15,DATE(YEAR($BS$5),MONTH($BS$5),1)-1,$BS$5)),MIN(("31/12/"&amp;BU7)*1,IF($BT$5-DATE(YEAR($BT$5),MONTH($BT$5),1)+1&gt;=15,DATE(YEAR($BT$5),MONTH($BT$5)+1,1),$BT$5)),"m"))</f>
        <v>12</v>
      </c>
    </row>
    <row r="8" spans="1:76" ht="30" customHeight="1" thickBot="1" x14ac:dyDescent="0.3">
      <c r="A8" s="190" t="s">
        <v>31</v>
      </c>
      <c r="B8" s="191"/>
      <c r="C8" s="70"/>
      <c r="K8" s="206">
        <f ca="1">TODAY()</f>
        <v>46180</v>
      </c>
      <c r="L8" s="207"/>
      <c r="S8" s="14"/>
      <c r="AI8" s="78"/>
      <c r="AJ8" s="79"/>
      <c r="AK8" s="80"/>
      <c r="AL8" s="80"/>
      <c r="AM8" s="78"/>
      <c r="AN8" s="78"/>
      <c r="AO8" s="78"/>
      <c r="AP8" s="78"/>
      <c r="AQ8" s="78"/>
      <c r="AR8" s="78"/>
      <c r="AS8" s="78"/>
      <c r="AT8" s="78"/>
      <c r="AU8" s="81"/>
      <c r="AV8" s="78"/>
      <c r="AW8" s="81"/>
      <c r="AX8" s="78"/>
      <c r="AY8" s="41" t="str" cm="1">
        <f t="array" aca="1" ref="AY8" ca="1">IF(AJ8="","",SUMPRODUCT((WEEKDAY(ROW(INDIRECT(AK8&amp;":"&amp;AL8)),2)&lt;7)*(COUNTIF(fer_1,ROW(INDIRECT(AK8&amp;":"&amp;AL8)))=0)))</f>
        <v/>
      </c>
      <c r="AZ8" s="200"/>
      <c r="BA8" s="89"/>
      <c r="BB8" s="44"/>
      <c r="BC8" s="35"/>
      <c r="BD8" s="35"/>
      <c r="BE8" s="35"/>
      <c r="BF8" s="35"/>
      <c r="BG8" s="35"/>
      <c r="BH8" s="35"/>
      <c r="BK8" s="87">
        <v>200</v>
      </c>
      <c r="BL8" s="30">
        <v>0.9</v>
      </c>
      <c r="BM8" s="31">
        <v>0.08</v>
      </c>
      <c r="BO8" s="37">
        <f t="shared" si="1"/>
        <v>4</v>
      </c>
      <c r="BP8" s="38">
        <f t="shared" ref="BP8" si="4">IF(ISERROR(EDATE(BP7,1)),"",IF(OR(EDATE(BP7,1)&gt;EOMONTH(fim,0),BP7=""),"",EDATE(BP7,1)))</f>
        <v>44136</v>
      </c>
      <c r="BQ8" s="39" t="str">
        <f t="shared" si="3"/>
        <v>2020 - 2021</v>
      </c>
      <c r="BU8" s="15">
        <f>IF(BU6+2&lt;=YEAR(dispensa),BU6+2,"")</f>
        <v>2023</v>
      </c>
      <c r="BV8" s="15">
        <f>IF(OR($BT$5="",YEAR($BS$5)&gt;BU8,YEAR($BT$5)&lt;BU8),"",DATEDIF(MAX(("31/12/"&amp;BU8-1)*1,IF(DATE(YEAR($BS$5),MONTH($BS$5)+1,1)-$BS$5&gt;=15,DATE(YEAR($BS$5),MONTH($BS$5),1)-1,$BS$5)),MIN(("31/12/"&amp;BU8)*1,IF($BT$5-DATE(YEAR($BT$5),MONTH($BT$5),1)+1&gt;=15,DATE(YEAR($BT$5),MONTH($BT$5)+1,1),$BT$5)),"m"))</f>
        <v>12</v>
      </c>
    </row>
    <row r="9" spans="1:76" ht="30" customHeight="1" thickBot="1" x14ac:dyDescent="0.3">
      <c r="A9" s="18"/>
      <c r="B9" s="24" t="s">
        <v>32</v>
      </c>
      <c r="C9" s="230">
        <v>44053</v>
      </c>
      <c r="K9" s="208">
        <f ca="1">TODAY()</f>
        <v>46180</v>
      </c>
      <c r="L9" s="209"/>
      <c r="S9" s="14"/>
      <c r="AI9" s="82"/>
      <c r="AJ9" s="83"/>
      <c r="AK9" s="84"/>
      <c r="AL9" s="84"/>
      <c r="AM9" s="82"/>
      <c r="AN9" s="82"/>
      <c r="AO9" s="82"/>
      <c r="AP9" s="82"/>
      <c r="AQ9" s="82"/>
      <c r="AR9" s="82"/>
      <c r="AS9" s="82"/>
      <c r="AT9" s="82"/>
      <c r="AU9" s="81"/>
      <c r="AV9" s="82"/>
      <c r="AW9" s="81"/>
      <c r="AX9" s="82"/>
      <c r="AY9" s="41" t="str" cm="1">
        <f t="array" aca="1" ref="AY9" ca="1">IF(AJ9="","",SUMPRODUCT((WEEKDAY(ROW(INDIRECT(AK9&amp;":"&amp;AL9)),2)&lt;7)*(COUNTIF(fer_1,ROW(INDIRECT(AK9&amp;":"&amp;AL9)))=0)))</f>
        <v/>
      </c>
      <c r="AZ9" s="200"/>
      <c r="BA9" s="89"/>
      <c r="BB9" s="44"/>
      <c r="BC9" s="35"/>
      <c r="BD9" s="35"/>
      <c r="BE9" s="35"/>
      <c r="BF9" s="35"/>
      <c r="BG9" s="35"/>
      <c r="BH9" s="35"/>
      <c r="BK9" s="88">
        <v>220</v>
      </c>
      <c r="BL9" s="43">
        <v>1</v>
      </c>
      <c r="BM9" s="68">
        <v>0.112</v>
      </c>
      <c r="BO9" s="37">
        <f t="shared" si="1"/>
        <v>5</v>
      </c>
      <c r="BP9" s="38">
        <f t="shared" ref="BP9" si="5">IF(ISERROR(EDATE(BP8,1)),"",IF(OR(EDATE(BP8,1)&gt;EOMONTH(fim,0),BP8=""),"",EDATE(BP8,1)))</f>
        <v>44166</v>
      </c>
      <c r="BQ9" s="39" t="str">
        <f t="shared" si="3"/>
        <v>2020 - 2021</v>
      </c>
      <c r="BU9" s="15">
        <f>IF(BU6+3&lt;=YEAR(dispensa),BU6+3,"")</f>
        <v>2024</v>
      </c>
      <c r="BV9" s="15">
        <f>IF(OR($BT$5="",YEAR($BS$5)&gt;BU9,YEAR($BT$5)&lt;BU9),"",DATEDIF(MAX(("31/12/"&amp;BU9-1)*1,IF(DATE(YEAR($BS$5),MONTH($BS$5)+1,1)-$BS$5&gt;=15,DATE(YEAR($BS$5),MONTH($BS$5),1)-1,$BS$5)),MIN(("31/12/"&amp;BU9)*1,IF($BT$5-DATE(YEAR($BT$5),MONTH($BT$5),1)+1&gt;=15,DATE(YEAR($BT$5),MONTH($BT$5)+1,1),$BT$5)),"m"))</f>
        <v>12</v>
      </c>
    </row>
    <row r="10" spans="1:76" ht="30" customHeight="1" thickBot="1" x14ac:dyDescent="0.3">
      <c r="A10" s="18"/>
      <c r="B10" s="29" t="s">
        <v>33</v>
      </c>
      <c r="C10" s="230">
        <v>46112</v>
      </c>
      <c r="E10" s="44"/>
      <c r="K10" s="210"/>
      <c r="L10" s="211"/>
      <c r="S10" s="14"/>
      <c r="AI10" s="78"/>
      <c r="AJ10" s="79"/>
      <c r="AK10" s="80"/>
      <c r="AL10" s="80"/>
      <c r="AM10" s="78"/>
      <c r="AN10" s="78"/>
      <c r="AO10" s="78"/>
      <c r="AP10" s="78"/>
      <c r="AQ10" s="78"/>
      <c r="AR10" s="78"/>
      <c r="AS10" s="78"/>
      <c r="AT10" s="78"/>
      <c r="AU10" s="81"/>
      <c r="AV10" s="78"/>
      <c r="AW10" s="81"/>
      <c r="AX10" s="78"/>
      <c r="AY10" s="41" t="str" cm="1">
        <f t="array" aca="1" ref="AY10" ca="1">IF(AJ10="","",SUMPRODUCT((WEEKDAY(ROW(INDIRECT(AK10&amp;":"&amp;AL10)),2)&lt;7)*(COUNTIF(fer_1,ROW(INDIRECT(AK10&amp;":"&amp;AL10)))=0)))</f>
        <v/>
      </c>
      <c r="AZ10" s="200"/>
      <c r="BA10" s="89"/>
      <c r="BB10" s="44"/>
      <c r="BC10" s="35"/>
      <c r="BD10" s="35"/>
      <c r="BE10" s="35"/>
      <c r="BF10" s="35"/>
      <c r="BG10" s="35"/>
      <c r="BH10" s="35"/>
      <c r="BO10" s="37">
        <f t="shared" si="1"/>
        <v>6</v>
      </c>
      <c r="BP10" s="38">
        <f t="shared" ref="BP10" si="6">IF(ISERROR(EDATE(BP9,1)),"",IF(OR(EDATE(BP9,1)&gt;EOMONTH(fim,0),BP9=""),"",EDATE(BP9,1)))</f>
        <v>44197</v>
      </c>
      <c r="BQ10" s="39" t="str">
        <f t="shared" si="3"/>
        <v>2020 - 2021</v>
      </c>
      <c r="BU10" s="15">
        <f>IF(BU6+4&lt;=YEAR(dispensa),BU6+4,"")</f>
        <v>2025</v>
      </c>
      <c r="BV10" s="15">
        <f>IF(OR($BT$5="",YEAR($BS$5)&gt;BU10,YEAR($BT$5)&lt;BU10),"",DATEDIF(MAX(("31/12/"&amp;BU10-1)*1,IF(DATE(YEAR($BS$5),MONTH($BS$5)+1,1)-$BS$5&gt;=15,DATE(YEAR($BS$5),MONTH($BS$5),1)-1,$BS$5)),MIN(("31/12/"&amp;BU10)*1,IF($BT$5-DATE(YEAR($BT$5),MONTH($BT$5),1)+1&gt;=15,DATE(YEAR($BT$5),MONTH($BT$5)+1,1),$BT$5)),"m"))</f>
        <v>12</v>
      </c>
    </row>
    <row r="11" spans="1:76" ht="30" customHeight="1" x14ac:dyDescent="0.25">
      <c r="A11" s="18"/>
      <c r="B11" s="29" t="s">
        <v>34</v>
      </c>
      <c r="C11" s="230">
        <v>46157</v>
      </c>
      <c r="E11" s="44"/>
      <c r="K11" s="55"/>
      <c r="L11" s="55"/>
      <c r="S11" s="14"/>
      <c r="AI11" s="82"/>
      <c r="AJ11" s="83"/>
      <c r="AK11" s="84"/>
      <c r="AL11" s="84"/>
      <c r="AM11" s="82"/>
      <c r="AN11" s="82"/>
      <c r="AO11" s="82"/>
      <c r="AP11" s="82"/>
      <c r="AQ11" s="82"/>
      <c r="AR11" s="82"/>
      <c r="AS11" s="82"/>
      <c r="AT11" s="82"/>
      <c r="AU11" s="81"/>
      <c r="AV11" s="82"/>
      <c r="AW11" s="81"/>
      <c r="AX11" s="82"/>
      <c r="AY11" s="41" t="str" cm="1">
        <f t="array" aca="1" ref="AY11" ca="1">IF(AJ11="","",SUMPRODUCT((WEEKDAY(ROW(INDIRECT(AK11&amp;":"&amp;AL11)),2)&lt;7)*(COUNTIF(fer_1,ROW(INDIRECT(AK11&amp;":"&amp;AL11)))=0)))</f>
        <v/>
      </c>
      <c r="AZ11" s="200"/>
      <c r="BA11" s="89"/>
      <c r="BB11" s="44"/>
      <c r="BC11" s="35"/>
      <c r="BD11" s="35"/>
      <c r="BE11" s="35"/>
      <c r="BF11" s="35"/>
      <c r="BG11" s="35"/>
      <c r="BH11" s="35"/>
      <c r="BK11" s="35">
        <f>IF(prescrição=admissão,admissão,IF(AND(prescrição&gt;admissão,MONTH(admissão)&gt;MONTH(prescrição)),DATE(YEAR(prescrição)-2,MONTH(admissão),DAY(admissão)),DATE(YEAR(prescrição)-1,MONTH(admissão),DAY(admissão))))</f>
        <v>43687</v>
      </c>
      <c r="BO11" s="37">
        <f t="shared" si="1"/>
        <v>7</v>
      </c>
      <c r="BP11" s="38">
        <f t="shared" ref="BP11" si="7">IF(ISERROR(EDATE(BP10,1)),"",IF(OR(EDATE(BP10,1)&gt;EOMONTH(fim,0),BP10=""),"",EDATE(BP10,1)))</f>
        <v>44228</v>
      </c>
      <c r="BQ11" s="39" t="str">
        <f t="shared" si="3"/>
        <v>2020 - 2021</v>
      </c>
      <c r="BU11" s="15">
        <f>IF(BU6+5&lt;=YEAR(dispensa),BU6+5,"")</f>
        <v>2026</v>
      </c>
      <c r="BV11" s="15">
        <f>IF(OR($BT$5="",YEAR($BS$5)&gt;BU11,YEAR($BT$5)&lt;BU11),"",DATEDIF(MAX(("31/12/"&amp;BU11-1)*1,IF(DATE(YEAR($BS$5),MONTH($BS$5)+1,1)-$BS$5&gt;=15,DATE(YEAR($BS$5),MONTH($BS$5),1)-1,$BS$5)),MIN(("31/12/"&amp;BU11)*1,IF($BT$5-DATE(YEAR($BT$5),MONTH($BT$5),1)+1&gt;=15,DATE(YEAR($BT$5),MONTH($BT$5)+1,1),$BT$5)),"m"))</f>
        <v>3</v>
      </c>
    </row>
    <row r="12" spans="1:76" ht="30" customHeight="1" x14ac:dyDescent="0.25">
      <c r="A12" s="18"/>
      <c r="B12" s="29" t="s">
        <v>35</v>
      </c>
      <c r="C12" s="74">
        <f>IF(admissão&lt;DATE(YEAR(ajuiza)-5,MONTH(ajuiza),DAY(ajuiza)),DATE(YEAR(ajuiza)-5,MONTH(ajuiza),DAY(ajuiza)),admissão)</f>
        <v>44331</v>
      </c>
      <c r="E12" s="44"/>
      <c r="S12" s="14"/>
      <c r="AI12" s="78"/>
      <c r="AJ12" s="79"/>
      <c r="AK12" s="80"/>
      <c r="AL12" s="80"/>
      <c r="AM12" s="78"/>
      <c r="AN12" s="78"/>
      <c r="AO12" s="78"/>
      <c r="AP12" s="78"/>
      <c r="AQ12" s="78"/>
      <c r="AR12" s="78"/>
      <c r="AS12" s="78"/>
      <c r="AT12" s="78"/>
      <c r="AU12" s="81"/>
      <c r="AV12" s="78"/>
      <c r="AW12" s="81"/>
      <c r="AX12" s="78"/>
      <c r="AY12" s="41" t="str" cm="1">
        <f t="array" aca="1" ref="AY12" ca="1">IF(AJ12="","",SUMPRODUCT((WEEKDAY(ROW(INDIRECT(AK12&amp;":"&amp;AL12)),2)&lt;7)*(COUNTIF(fer_1,ROW(INDIRECT(AK12&amp;":"&amp;AL12)))=0)))</f>
        <v/>
      </c>
      <c r="AZ12" s="200"/>
      <c r="BA12" s="89"/>
      <c r="BB12" s="44"/>
      <c r="BC12" s="35"/>
      <c r="BD12" s="35"/>
      <c r="BE12" s="35"/>
      <c r="BF12" s="35"/>
      <c r="BG12" s="35"/>
      <c r="BH12" s="35"/>
      <c r="BK12" s="35">
        <f>IF(BK11&lt;admissão,admissão,BK11)</f>
        <v>44053</v>
      </c>
      <c r="BO12" s="37">
        <f>BO11+1</f>
        <v>8</v>
      </c>
      <c r="BP12" s="38">
        <f t="shared" ref="BP12:BP20" si="8">IF(ISERROR(EDATE(BP11,1)),"",IF(OR(EDATE(BP11,1)&gt;EOMONTH(fim,0),BP11=""),"",EDATE(BP11,1)))</f>
        <v>44256</v>
      </c>
      <c r="BQ12" s="39" t="str">
        <f t="shared" si="3"/>
        <v>2020 - 2021</v>
      </c>
      <c r="BT12" s="42" t="str">
        <f>IF(BU11+1&lt;=YEAR(dispensa),BU11+1,"")</f>
        <v/>
      </c>
    </row>
    <row r="13" spans="1:76" ht="30" customHeight="1" thickBot="1" x14ac:dyDescent="0.3">
      <c r="A13" s="18"/>
      <c r="B13" s="58" t="s">
        <v>42</v>
      </c>
      <c r="C13" s="74">
        <f>IF(admissão&lt;DATE(YEAR(ajuiza)-5,MONTH(ajuiza),DAY(ajuiza)),DATE(YEAR(ajuiza)-5,MONTH(ajuiza),1),DATE(YEAR(admissão),MONTH(admissão),1))</f>
        <v>44317</v>
      </c>
      <c r="E13" s="44"/>
      <c r="S13" s="14"/>
      <c r="AI13" s="78"/>
      <c r="AJ13" s="79"/>
      <c r="AK13" s="80"/>
      <c r="AL13" s="80"/>
      <c r="AM13" s="78"/>
      <c r="AN13" s="78"/>
      <c r="AO13" s="78"/>
      <c r="AP13" s="78"/>
      <c r="AQ13" s="78"/>
      <c r="AR13" s="78"/>
      <c r="AS13" s="78"/>
      <c r="AT13" s="78"/>
      <c r="AU13" s="81"/>
      <c r="AV13" s="78"/>
      <c r="AW13" s="81"/>
      <c r="AX13" s="78"/>
      <c r="AY13" s="41"/>
      <c r="AZ13" s="91"/>
      <c r="BA13" s="89"/>
      <c r="BB13" s="44"/>
      <c r="BC13" s="35"/>
      <c r="BD13" s="35"/>
      <c r="BE13" s="35"/>
      <c r="BF13" s="35"/>
      <c r="BG13" s="35"/>
      <c r="BH13" s="35"/>
      <c r="BK13" s="35"/>
      <c r="BO13" s="37">
        <f t="shared" ref="BO13:BO20" si="9">BO12+1</f>
        <v>9</v>
      </c>
      <c r="BP13" s="38">
        <f t="shared" si="8"/>
        <v>44287</v>
      </c>
      <c r="BQ13" s="39" t="str">
        <f t="shared" ref="BQ13:BQ20" si="10">IF(BP13="","",BQ12)</f>
        <v>2020 - 2021</v>
      </c>
      <c r="BT13" s="42"/>
    </row>
    <row r="14" spans="1:76" ht="30" customHeight="1" x14ac:dyDescent="0.25">
      <c r="A14" s="190" t="s">
        <v>36</v>
      </c>
      <c r="B14" s="191"/>
      <c r="C14" s="71"/>
      <c r="E14" s="44"/>
      <c r="S14" s="14"/>
      <c r="AI14" s="82"/>
      <c r="AJ14" s="83"/>
      <c r="AK14" s="84"/>
      <c r="AL14" s="84"/>
      <c r="AM14" s="82"/>
      <c r="AN14" s="82"/>
      <c r="AO14" s="82"/>
      <c r="AP14" s="82"/>
      <c r="AQ14" s="82"/>
      <c r="AR14" s="82"/>
      <c r="AS14" s="82"/>
      <c r="AT14" s="82"/>
      <c r="AU14" s="81"/>
      <c r="AV14" s="82"/>
      <c r="AW14" s="81"/>
      <c r="AX14" s="82"/>
      <c r="AY14" s="41" t="str" cm="1">
        <f t="array" aca="1" ref="AY14" ca="1">IF(AJ14="","",SUMPRODUCT((WEEKDAY(ROW(INDIRECT(AK14&amp;":"&amp;AL14)),2)&lt;7)*(COUNTIF(fer_1,ROW(INDIRECT(AK14&amp;":"&amp;AL14)))=0)))</f>
        <v/>
      </c>
      <c r="AZ14" s="192"/>
      <c r="BA14" s="89"/>
      <c r="BB14" s="44"/>
      <c r="BC14" s="35"/>
      <c r="BD14" s="35"/>
      <c r="BE14" s="35"/>
      <c r="BF14" s="35"/>
      <c r="BG14" s="35"/>
      <c r="BH14" s="35"/>
      <c r="BI14" s="41" t="str">
        <f>férias_ano1</f>
        <v>2020 - 2021</v>
      </c>
      <c r="BJ14" s="45"/>
      <c r="BK14" s="45"/>
      <c r="BL14" s="45"/>
      <c r="BM14" s="45"/>
      <c r="BN14" s="45"/>
      <c r="BO14" s="37">
        <f t="shared" si="9"/>
        <v>10</v>
      </c>
      <c r="BP14" s="38">
        <f t="shared" si="8"/>
        <v>44317</v>
      </c>
      <c r="BQ14" s="39" t="str">
        <f t="shared" si="10"/>
        <v>2020 - 2021</v>
      </c>
      <c r="BT14" s="46" t="s">
        <v>37</v>
      </c>
      <c r="BU14" s="234">
        <v>3</v>
      </c>
    </row>
    <row r="15" spans="1:76" ht="30" customHeight="1" x14ac:dyDescent="0.25">
      <c r="A15" s="18"/>
      <c r="B15" s="24" t="s">
        <v>43</v>
      </c>
      <c r="C15" s="231" t="s">
        <v>61</v>
      </c>
      <c r="E15" s="44"/>
      <c r="S15" s="14"/>
      <c r="AI15" s="78"/>
      <c r="AJ15" s="79"/>
      <c r="AK15" s="80"/>
      <c r="AL15" s="80"/>
      <c r="AM15" s="78"/>
      <c r="AN15" s="78"/>
      <c r="AO15" s="78"/>
      <c r="AP15" s="78"/>
      <c r="AQ15" s="78"/>
      <c r="AR15" s="78"/>
      <c r="AS15" s="78"/>
      <c r="AT15" s="78"/>
      <c r="AU15" s="81"/>
      <c r="AV15" s="78"/>
      <c r="AW15" s="81"/>
      <c r="AX15" s="78"/>
      <c r="AY15" s="41" t="str" cm="1">
        <f t="array" aca="1" ref="AY15" ca="1">IF(AJ15="","",SUMPRODUCT((WEEKDAY(ROW(INDIRECT(AK15&amp;":"&amp;AL15)),2)&lt;7)*(COUNTIF(fer_1,ROW(INDIRECT(AK15&amp;":"&amp;AL15)))=0)))</f>
        <v/>
      </c>
      <c r="AZ15" s="192"/>
      <c r="BA15" s="89"/>
      <c r="BB15" s="44"/>
      <c r="BC15" s="35"/>
      <c r="BD15" s="35"/>
      <c r="BE15" s="35"/>
      <c r="BF15" s="35"/>
      <c r="BG15" s="35"/>
      <c r="BH15" s="35"/>
      <c r="BI15" s="41" t="str">
        <f>férias_ano2</f>
        <v>2021 - 2022</v>
      </c>
      <c r="BJ15" s="113"/>
      <c r="BK15" s="45"/>
      <c r="BL15" s="45"/>
      <c r="BM15" s="45"/>
      <c r="BN15" s="45"/>
      <c r="BO15" s="37">
        <f t="shared" si="9"/>
        <v>11</v>
      </c>
      <c r="BP15" s="38">
        <f t="shared" si="8"/>
        <v>44348</v>
      </c>
      <c r="BQ15" s="39" t="str">
        <f t="shared" si="10"/>
        <v>2020 - 2021</v>
      </c>
      <c r="BT15" s="46" t="s">
        <v>52</v>
      </c>
    </row>
    <row r="16" spans="1:76" ht="30" customHeight="1" x14ac:dyDescent="0.25">
      <c r="A16" s="18"/>
      <c r="B16" s="29" t="s">
        <v>44</v>
      </c>
      <c r="C16" s="232">
        <v>0.4</v>
      </c>
      <c r="S16" s="14"/>
      <c r="AI16" s="82"/>
      <c r="AJ16" s="83"/>
      <c r="AK16" s="84"/>
      <c r="AL16" s="84"/>
      <c r="AM16" s="82"/>
      <c r="AN16" s="82"/>
      <c r="AO16" s="82"/>
      <c r="AP16" s="82"/>
      <c r="AQ16" s="82"/>
      <c r="AR16" s="82"/>
      <c r="AS16" s="82"/>
      <c r="AT16" s="82"/>
      <c r="AU16" s="81"/>
      <c r="AV16" s="82"/>
      <c r="AW16" s="81"/>
      <c r="AX16" s="82"/>
      <c r="AY16" s="41" t="str" cm="1">
        <f t="array" aca="1" ref="AY16" ca="1">IF(AJ16="","",SUMPRODUCT((WEEKDAY(ROW(INDIRECT(AK16&amp;":"&amp;AL16)),2)&lt;7)*(COUNTIF(fer_1,ROW(INDIRECT(AK16&amp;":"&amp;AL16)))=0)))</f>
        <v/>
      </c>
      <c r="AZ16" s="192"/>
      <c r="BA16" s="89"/>
      <c r="BB16" s="44"/>
      <c r="BC16" s="35"/>
      <c r="BD16" s="35"/>
      <c r="BE16" s="35"/>
      <c r="BF16" s="35"/>
      <c r="BG16" s="35"/>
      <c r="BH16" s="35"/>
      <c r="BI16" s="41" t="str">
        <f>férias_ano3</f>
        <v>2021 - 2022</v>
      </c>
      <c r="BJ16" s="92"/>
      <c r="BK16" s="45"/>
      <c r="BL16" s="45"/>
      <c r="BM16" s="45"/>
      <c r="BN16" s="45"/>
      <c r="BO16" s="37">
        <f t="shared" si="9"/>
        <v>12</v>
      </c>
      <c r="BP16" s="38">
        <f t="shared" si="8"/>
        <v>44378</v>
      </c>
      <c r="BQ16" s="39" t="str">
        <f t="shared" si="10"/>
        <v>2020 - 2021</v>
      </c>
      <c r="BT16" s="46" t="s">
        <v>38</v>
      </c>
    </row>
    <row r="17" spans="1:72" ht="30" customHeight="1" x14ac:dyDescent="0.25">
      <c r="A17" s="18"/>
      <c r="B17" s="29" t="s">
        <v>45</v>
      </c>
      <c r="C17" s="232">
        <v>0</v>
      </c>
      <c r="S17" s="14"/>
      <c r="AI17" s="78"/>
      <c r="AJ17" s="79"/>
      <c r="AK17" s="80"/>
      <c r="AL17" s="80"/>
      <c r="AM17" s="78"/>
      <c r="AN17" s="78"/>
      <c r="AO17" s="78"/>
      <c r="AP17" s="78"/>
      <c r="AQ17" s="78"/>
      <c r="AR17" s="78"/>
      <c r="AS17" s="78"/>
      <c r="AT17" s="78"/>
      <c r="AU17" s="81"/>
      <c r="AV17" s="78"/>
      <c r="AW17" s="81"/>
      <c r="AX17" s="78"/>
      <c r="AY17" s="41" t="str" cm="1">
        <f t="array" aca="1" ref="AY17" ca="1">IF(AJ17="","",SUMPRODUCT((WEEKDAY(ROW(INDIRECT(AK17&amp;":"&amp;AL17)),2)&lt;7)*(COUNTIF(fer_1,ROW(INDIRECT(AK17&amp;":"&amp;AL17)))=0)))</f>
        <v/>
      </c>
      <c r="AZ17" s="200"/>
      <c r="BA17" s="89"/>
      <c r="BB17" s="44"/>
      <c r="BC17" s="90"/>
      <c r="BD17" s="90"/>
      <c r="BE17" s="90"/>
      <c r="BF17" s="90"/>
      <c r="BG17" s="90"/>
      <c r="BH17" s="90"/>
      <c r="BI17" s="41" t="str">
        <f>férias_ano4</f>
        <v>2021 - 2022</v>
      </c>
      <c r="BJ17" s="93"/>
      <c r="BK17" s="45"/>
      <c r="BL17" s="45"/>
      <c r="BM17" s="45"/>
      <c r="BN17" s="45"/>
      <c r="BO17" s="37">
        <f t="shared" si="9"/>
        <v>13</v>
      </c>
      <c r="BP17" s="38">
        <f t="shared" si="8"/>
        <v>44409</v>
      </c>
      <c r="BQ17" s="48" t="str">
        <f>IF(BP17="","",CONCATENATE(YEAR(BP17)," - ",YEAR(BP17)+1))</f>
        <v>2021 - 2022</v>
      </c>
      <c r="BT17" s="46" t="s">
        <v>53</v>
      </c>
    </row>
    <row r="18" spans="1:72" ht="30" customHeight="1" x14ac:dyDescent="0.25">
      <c r="A18" s="18"/>
      <c r="B18" s="29" t="s">
        <v>57</v>
      </c>
      <c r="C18" s="233">
        <v>0.112</v>
      </c>
      <c r="S18" s="14"/>
      <c r="AI18" s="78"/>
      <c r="AJ18" s="79"/>
      <c r="AK18" s="80"/>
      <c r="AL18" s="80"/>
      <c r="AM18" s="78"/>
      <c r="AN18" s="78"/>
      <c r="AO18" s="78"/>
      <c r="AP18" s="78"/>
      <c r="AQ18" s="78"/>
      <c r="AR18" s="78"/>
      <c r="AS18" s="78"/>
      <c r="AT18" s="78"/>
      <c r="AU18" s="81"/>
      <c r="AV18" s="78"/>
      <c r="AW18" s="81"/>
      <c r="AX18" s="78"/>
      <c r="AY18" s="41"/>
      <c r="AZ18" s="200"/>
      <c r="BA18" s="89"/>
      <c r="BB18" s="44"/>
      <c r="BC18" s="90"/>
      <c r="BD18" s="90"/>
      <c r="BE18" s="90"/>
      <c r="BF18" s="90"/>
      <c r="BG18" s="90"/>
      <c r="BH18" s="90"/>
      <c r="BI18" s="41" t="str">
        <f>férias_ano5</f>
        <v>2024 - 2025</v>
      </c>
      <c r="BJ18" s="93"/>
      <c r="BK18" s="45"/>
      <c r="BL18" s="45"/>
      <c r="BM18" s="45"/>
      <c r="BN18" s="45"/>
      <c r="BO18" s="37">
        <f t="shared" si="9"/>
        <v>14</v>
      </c>
      <c r="BP18" s="38">
        <f t="shared" si="8"/>
        <v>44440</v>
      </c>
      <c r="BQ18" s="39" t="str">
        <f t="shared" si="10"/>
        <v>2021 - 2022</v>
      </c>
      <c r="BT18" s="46"/>
    </row>
    <row r="19" spans="1:72" ht="30" customHeight="1" x14ac:dyDescent="0.25">
      <c r="A19" s="18"/>
      <c r="B19" s="29" t="s">
        <v>39</v>
      </c>
      <c r="S19" s="14"/>
      <c r="AI19" s="78"/>
      <c r="AJ19" s="79"/>
      <c r="AK19" s="80"/>
      <c r="AL19" s="80"/>
      <c r="AM19" s="78"/>
      <c r="AN19" s="78"/>
      <c r="AO19" s="78"/>
      <c r="AP19" s="78"/>
      <c r="AQ19" s="78"/>
      <c r="AR19" s="78"/>
      <c r="AS19" s="78"/>
      <c r="AT19" s="78"/>
      <c r="AU19" s="81"/>
      <c r="AV19" s="78"/>
      <c r="AW19" s="81"/>
      <c r="AX19" s="78"/>
      <c r="AY19" s="41" t="str" cm="1">
        <f t="array" aca="1" ref="AY19" ca="1">IF(AJ19="","",SUMPRODUCT((WEEKDAY(ROW(INDIRECT(AK19&amp;":"&amp;AL19)),2)&lt;7)*(COUNTIF(fer_1,ROW(INDIRECT(AK19&amp;":"&amp;AL19)))=0)))</f>
        <v/>
      </c>
      <c r="AZ19" s="200"/>
      <c r="BA19" s="89"/>
      <c r="BB19" s="44"/>
      <c r="BC19" s="90"/>
      <c r="BD19" s="90"/>
      <c r="BE19" s="90"/>
      <c r="BF19" s="90"/>
      <c r="BG19" s="90"/>
      <c r="BH19" s="90"/>
      <c r="BI19" s="41" t="str">
        <f>férias_ano6</f>
        <v>2025 - 2026</v>
      </c>
      <c r="BJ19" s="93"/>
      <c r="BK19" s="45"/>
      <c r="BL19" s="45"/>
      <c r="BM19" s="45"/>
      <c r="BN19" s="45"/>
      <c r="BO19" s="37">
        <f t="shared" si="9"/>
        <v>15</v>
      </c>
      <c r="BP19" s="38">
        <f t="shared" si="8"/>
        <v>44470</v>
      </c>
      <c r="BQ19" s="39" t="str">
        <f t="shared" si="10"/>
        <v>2021 - 2022</v>
      </c>
    </row>
    <row r="20" spans="1:72" ht="24.95" customHeight="1" x14ac:dyDescent="0.25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AI20" s="78"/>
      <c r="AJ20" s="79"/>
      <c r="AK20" s="80"/>
      <c r="AL20" s="80"/>
      <c r="AM20" s="78"/>
      <c r="AN20" s="78"/>
      <c r="AO20" s="78"/>
      <c r="AP20" s="78"/>
      <c r="AQ20" s="78"/>
      <c r="AR20" s="78"/>
      <c r="AS20" s="78"/>
      <c r="AT20" s="78"/>
      <c r="AU20" s="81"/>
      <c r="AV20" s="78"/>
      <c r="AW20" s="81"/>
      <c r="AX20" s="78"/>
      <c r="AY20" s="41" t="str" cm="1">
        <f t="array" aca="1" ref="AY20" ca="1">IF(AJ20="","",SUMPRODUCT((WEEKDAY(ROW(INDIRECT(AK20&amp;":"&amp;AL20)),2)&lt;7)*(COUNTIF(fer_1,ROW(INDIRECT(AK20&amp;":"&amp;AL20)))=0)))</f>
        <v/>
      </c>
      <c r="AZ20" s="94"/>
      <c r="BB20" s="44"/>
      <c r="BC20" s="35"/>
      <c r="BD20" s="35"/>
      <c r="BE20" s="35"/>
      <c r="BF20" s="35"/>
      <c r="BG20" s="35"/>
      <c r="BH20" s="35"/>
      <c r="BI20" s="41" t="str">
        <f>férias_ano7</f>
        <v/>
      </c>
      <c r="BJ20" s="45"/>
      <c r="BK20" s="45"/>
      <c r="BL20" s="45"/>
      <c r="BM20" s="45"/>
      <c r="BN20" s="45"/>
      <c r="BO20" s="37">
        <f t="shared" si="9"/>
        <v>16</v>
      </c>
      <c r="BP20" s="38">
        <f t="shared" si="8"/>
        <v>44501</v>
      </c>
      <c r="BQ20" s="39" t="str">
        <f t="shared" si="10"/>
        <v>2021 - 2022</v>
      </c>
    </row>
    <row r="21" spans="1:72" x14ac:dyDescent="0.25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AI21" s="78">
        <f t="shared" ref="AI21:AI72" si="11">AI20+1</f>
        <v>1</v>
      </c>
      <c r="AJ21" s="79" t="str">
        <f t="shared" ref="AJ21:AJ77" si="12">IF(AK21="","",AK21)</f>
        <v/>
      </c>
      <c r="AK21" s="80" t="str">
        <f t="shared" ref="AK21:AK77" si="13">IF(OR(AL20=dispensa,AL20=""),"",EOMONTH(AK20,0)+1)</f>
        <v/>
      </c>
      <c r="AL21" s="80" t="str">
        <f t="shared" ref="AL21:AL77" si="14">IF(AK21="","",IF(dispensa&lt;EOMONTH(AK21,0),dispensa,EOMONTH(AK21,0)))</f>
        <v/>
      </c>
      <c r="AM21" s="78" t="str">
        <f t="shared" ref="AM21:AM77" ca="1" si="15">IF(AK21="","",SUMPRODUCT((WEEKDAY(ROW(INDIRECT($AK21&amp;":"&amp;$AL21)))=2)*1))</f>
        <v/>
      </c>
      <c r="AN21" s="78" t="str">
        <f t="shared" ref="AN21:AN77" ca="1" si="16">IF(AK21="","",SUMPRODUCT((WEEKDAY(ROW(INDIRECT($AK21&amp;":"&amp;$AL21)))=3)*1))</f>
        <v/>
      </c>
      <c r="AO21" s="78" t="str">
        <f t="shared" ref="AO21:AO77" ca="1" si="17">IF(AK21="","",SUMPRODUCT((WEEKDAY(ROW(INDIRECT($AK21&amp;":"&amp;$AL21)))=4)*1))</f>
        <v/>
      </c>
      <c r="AP21" s="78" t="str">
        <f t="shared" ref="AP21:AP77" ca="1" si="18">IF(AK21="","",SUMPRODUCT((WEEKDAY(ROW(INDIRECT($AK21&amp;":"&amp;$AL21)))=5)*1))</f>
        <v/>
      </c>
      <c r="AQ21" s="78" t="str">
        <f t="shared" ref="AQ21:AQ77" ca="1" si="19">IF(AK21="","",SUMPRODUCT((WEEKDAY(ROW(INDIRECT($AK21&amp;":"&amp;$AL21)))=6)*1))</f>
        <v/>
      </c>
      <c r="AR21" s="78" t="str">
        <f t="shared" ref="AR21:AR77" ca="1" si="20">IF(AK21="","",SUMPRODUCT((WEEKDAY(ROW(INDIRECT($AK21&amp;":"&amp;$AL21)))=7)*1))</f>
        <v/>
      </c>
      <c r="AS21" s="78" t="str">
        <f t="shared" ref="AS21:AS77" ca="1" si="21">IF(AK21="","",SUMPRODUCT((WEEKDAY(ROW(INDIRECT($AK21&amp;":"&amp;$AL21)))=1)*1))</f>
        <v/>
      </c>
      <c r="AT21" s="78" t="str">
        <f t="shared" ref="AT21:AT77" si="22">IF(AK21="","",SUM(AM21:AS21))</f>
        <v/>
      </c>
      <c r="AU21" s="81" t="str">
        <f t="shared" ref="AU21:AU77" si="23">IF(AJ21="","",AV21-AW21)</f>
        <v/>
      </c>
      <c r="AV21" s="78" t="str">
        <f t="shared" ref="AV21:AV77" si="24">IF(AK21="","",AL21-AK21+1)</f>
        <v/>
      </c>
      <c r="AW21" s="81" t="str" cm="1">
        <f t="array" aca="1" ref="AW21" ca="1">IF(AJ21="","",SUMPRODUCT((WEEKDAY(ROW(INDIRECT(AK21&amp;":"&amp;AL21)),2)&lt;7)*(COUNTIF(fer_1,ROW(INDIRECT(AK21&amp;":"&amp;AL21)))=0)))</f>
        <v/>
      </c>
      <c r="AX21" s="78" t="str">
        <f t="shared" ref="AX21:AX77" si="25">IF(AK21="","",AU21&amp;"/"&amp;AW21)</f>
        <v/>
      </c>
      <c r="AY21" s="41" t="str" cm="1">
        <f t="array" aca="1" ref="AY21" ca="1">IF(AJ21="","",SUMPRODUCT((WEEKDAY(ROW(INDIRECT(AK21&amp;":"&amp;AL21)),2)&lt;7)*(COUNTIF(fer_1,ROW(INDIRECT(AK21&amp;":"&amp;AL21)))=0)))</f>
        <v/>
      </c>
      <c r="AZ21" s="49">
        <f>IF(prescrição&gt;admissão,DATE(YEAR(prescrição),MONTH(prescrição),1),DATE(YEAR(admissão),MONTH(admissão),1))</f>
        <v>44317</v>
      </c>
      <c r="BO21" s="37">
        <f t="shared" si="1"/>
        <v>17</v>
      </c>
      <c r="BP21" s="38">
        <f t="shared" ref="BP21:BP45" si="26">IF(ISERROR(EDATE(BP20,1)),"",IF(OR(EDATE(BP20,1)&gt;EOMONTH(fim,0),BP20=""),"",EDATE(BP20,1)))</f>
        <v>44531</v>
      </c>
      <c r="BQ21" s="39" t="str">
        <f t="shared" ref="BQ21:BQ45" si="27">IF(BP21="","",BQ20)</f>
        <v>2021 - 2022</v>
      </c>
    </row>
    <row r="22" spans="1:72" hidden="1" x14ac:dyDescent="0.25">
      <c r="AI22" s="78">
        <f t="shared" si="11"/>
        <v>2</v>
      </c>
      <c r="AJ22" s="79" t="str">
        <f t="shared" si="12"/>
        <v/>
      </c>
      <c r="AK22" s="80" t="str">
        <f t="shared" si="13"/>
        <v/>
      </c>
      <c r="AL22" s="80" t="str">
        <f t="shared" si="14"/>
        <v/>
      </c>
      <c r="AM22" s="78" t="str">
        <f t="shared" ca="1" si="15"/>
        <v/>
      </c>
      <c r="AN22" s="78" t="str">
        <f t="shared" ca="1" si="16"/>
        <v/>
      </c>
      <c r="AO22" s="78" t="str">
        <f t="shared" ca="1" si="17"/>
        <v/>
      </c>
      <c r="AP22" s="78" t="str">
        <f t="shared" ca="1" si="18"/>
        <v/>
      </c>
      <c r="AQ22" s="78" t="str">
        <f t="shared" ca="1" si="19"/>
        <v/>
      </c>
      <c r="AR22" s="78" t="str">
        <f t="shared" ca="1" si="20"/>
        <v/>
      </c>
      <c r="AS22" s="78" t="str">
        <f t="shared" ca="1" si="21"/>
        <v/>
      </c>
      <c r="AT22" s="78" t="str">
        <f t="shared" si="22"/>
        <v/>
      </c>
      <c r="AU22" s="81" t="str">
        <f t="shared" si="23"/>
        <v/>
      </c>
      <c r="AV22" s="78" t="str">
        <f t="shared" si="24"/>
        <v/>
      </c>
      <c r="AW22" s="81" t="str" cm="1">
        <f t="array" aca="1" ref="AW22" ca="1">IF(AJ22="","",SUMPRODUCT((WEEKDAY(ROW(INDIRECT(AK22&amp;":"&amp;AL22)),2)&lt;7)*(COUNTIF(fer_1,ROW(INDIRECT(AK22&amp;":"&amp;AL22)))=0)))</f>
        <v/>
      </c>
      <c r="AX22" s="78" t="str">
        <f t="shared" si="25"/>
        <v/>
      </c>
      <c r="AY22" s="41" t="str" cm="1">
        <f t="array" aca="1" ref="AY22" ca="1">IF(AJ22="","",SUMPRODUCT((WEEKDAY(ROW(INDIRECT(AK22&amp;":"&amp;AL22)),2)&lt;7)*(COUNTIF(fer_1,ROW(INDIRECT(AK22&amp;":"&amp;AL22)))=0)))</f>
        <v/>
      </c>
      <c r="AZ22" s="50" t="s">
        <v>25</v>
      </c>
      <c r="BO22" s="37">
        <f t="shared" si="1"/>
        <v>18</v>
      </c>
      <c r="BP22" s="38">
        <f t="shared" si="26"/>
        <v>44562</v>
      </c>
      <c r="BQ22" s="39" t="str">
        <f t="shared" si="27"/>
        <v>2021 - 2022</v>
      </c>
    </row>
    <row r="23" spans="1:72" ht="15.75" hidden="1" thickBot="1" x14ac:dyDescent="0.3">
      <c r="AI23" s="78">
        <f t="shared" si="11"/>
        <v>3</v>
      </c>
      <c r="AJ23" s="79" t="str">
        <f t="shared" si="12"/>
        <v/>
      </c>
      <c r="AK23" s="80" t="str">
        <f t="shared" si="13"/>
        <v/>
      </c>
      <c r="AL23" s="80" t="str">
        <f t="shared" si="14"/>
        <v/>
      </c>
      <c r="AM23" s="78" t="str">
        <f t="shared" ca="1" si="15"/>
        <v/>
      </c>
      <c r="AN23" s="78" t="str">
        <f t="shared" ca="1" si="16"/>
        <v/>
      </c>
      <c r="AO23" s="78" t="str">
        <f t="shared" ca="1" si="17"/>
        <v/>
      </c>
      <c r="AP23" s="78" t="str">
        <f t="shared" ca="1" si="18"/>
        <v/>
      </c>
      <c r="AQ23" s="78" t="str">
        <f t="shared" ca="1" si="19"/>
        <v/>
      </c>
      <c r="AR23" s="78" t="str">
        <f t="shared" ca="1" si="20"/>
        <v/>
      </c>
      <c r="AS23" s="78" t="str">
        <f t="shared" ca="1" si="21"/>
        <v/>
      </c>
      <c r="AT23" s="78" t="str">
        <f t="shared" si="22"/>
        <v/>
      </c>
      <c r="AU23" s="81" t="str">
        <f t="shared" si="23"/>
        <v/>
      </c>
      <c r="AV23" s="78" t="str">
        <f t="shared" si="24"/>
        <v/>
      </c>
      <c r="AW23" s="81" t="str" cm="1">
        <f t="array" aca="1" ref="AW23" ca="1">IF(AJ23="","",SUMPRODUCT((WEEKDAY(ROW(INDIRECT(AK23&amp;":"&amp;AL23)),2)&lt;7)*(COUNTIF(fer_1,ROW(INDIRECT(AK23&amp;":"&amp;AL23)))=0)))</f>
        <v/>
      </c>
      <c r="AX23" s="78" t="str">
        <f t="shared" si="25"/>
        <v/>
      </c>
      <c r="AY23" s="41" t="str" cm="1">
        <f t="array" aca="1" ref="AY23" ca="1">IF(AJ23="","",SUMPRODUCT((WEEKDAY(ROW(INDIRECT(AK23&amp;":"&amp;AL23)),2)&lt;7)*(COUNTIF(fer_1,ROW(INDIRECT(AK23&amp;":"&amp;AL23)))=0)))</f>
        <v/>
      </c>
      <c r="AZ23" s="51">
        <f>DATE(YEAR(dispensa),MONTH(dispensa),1)</f>
        <v>46082</v>
      </c>
      <c r="BB23" s="35"/>
      <c r="BO23" s="37">
        <f t="shared" si="1"/>
        <v>19</v>
      </c>
      <c r="BP23" s="38">
        <f t="shared" si="26"/>
        <v>44593</v>
      </c>
      <c r="BQ23" s="39" t="str">
        <f t="shared" si="27"/>
        <v>2021 - 2022</v>
      </c>
    </row>
    <row r="24" spans="1:72" hidden="1" x14ac:dyDescent="0.25">
      <c r="AI24" s="78">
        <f t="shared" si="11"/>
        <v>4</v>
      </c>
      <c r="AJ24" s="79" t="str">
        <f t="shared" si="12"/>
        <v/>
      </c>
      <c r="AK24" s="80" t="str">
        <f t="shared" si="13"/>
        <v/>
      </c>
      <c r="AL24" s="80" t="str">
        <f t="shared" si="14"/>
        <v/>
      </c>
      <c r="AM24" s="78" t="str">
        <f t="shared" ca="1" si="15"/>
        <v/>
      </c>
      <c r="AN24" s="78" t="str">
        <f t="shared" ca="1" si="16"/>
        <v/>
      </c>
      <c r="AO24" s="78" t="str">
        <f t="shared" ca="1" si="17"/>
        <v/>
      </c>
      <c r="AP24" s="78" t="str">
        <f t="shared" ca="1" si="18"/>
        <v/>
      </c>
      <c r="AQ24" s="78" t="str">
        <f t="shared" ca="1" si="19"/>
        <v/>
      </c>
      <c r="AR24" s="78" t="str">
        <f t="shared" ca="1" si="20"/>
        <v/>
      </c>
      <c r="AS24" s="78" t="str">
        <f t="shared" ca="1" si="21"/>
        <v/>
      </c>
      <c r="AT24" s="78" t="str">
        <f t="shared" si="22"/>
        <v/>
      </c>
      <c r="AU24" s="81" t="str">
        <f t="shared" si="23"/>
        <v/>
      </c>
      <c r="AV24" s="78" t="str">
        <f t="shared" si="24"/>
        <v/>
      </c>
      <c r="AW24" s="81" t="str" cm="1">
        <f t="array" aca="1" ref="AW24" ca="1">IF(AJ24="","",SUMPRODUCT((WEEKDAY(ROW(INDIRECT(AK24&amp;":"&amp;AL24)),2)&lt;7)*(COUNTIF(fer_1,ROW(INDIRECT(AK24&amp;":"&amp;AL24)))=0)))</f>
        <v/>
      </c>
      <c r="AX24" s="78" t="str">
        <f t="shared" si="25"/>
        <v/>
      </c>
      <c r="AY24" s="41" t="str" cm="1">
        <f t="array" aca="1" ref="AY24" ca="1">IF(AJ24="","",SUMPRODUCT((WEEKDAY(ROW(INDIRECT(AK24&amp;":"&amp;AL24)),2)&lt;7)*(COUNTIF(fer_1,ROW(INDIRECT(AK24&amp;":"&amp;AL24)))=0)))</f>
        <v/>
      </c>
      <c r="BO24" s="37">
        <f t="shared" si="1"/>
        <v>20</v>
      </c>
      <c r="BP24" s="38">
        <f t="shared" si="26"/>
        <v>44621</v>
      </c>
      <c r="BQ24" s="39" t="str">
        <f t="shared" si="27"/>
        <v>2021 - 2022</v>
      </c>
    </row>
    <row r="25" spans="1:72" hidden="1" x14ac:dyDescent="0.25">
      <c r="AI25" s="78">
        <f t="shared" si="11"/>
        <v>5</v>
      </c>
      <c r="AJ25" s="79" t="str">
        <f t="shared" si="12"/>
        <v/>
      </c>
      <c r="AK25" s="80" t="str">
        <f t="shared" si="13"/>
        <v/>
      </c>
      <c r="AL25" s="80" t="str">
        <f t="shared" si="14"/>
        <v/>
      </c>
      <c r="AM25" s="78" t="str">
        <f t="shared" ca="1" si="15"/>
        <v/>
      </c>
      <c r="AN25" s="78" t="str">
        <f t="shared" ca="1" si="16"/>
        <v/>
      </c>
      <c r="AO25" s="78" t="str">
        <f t="shared" ca="1" si="17"/>
        <v/>
      </c>
      <c r="AP25" s="78" t="str">
        <f t="shared" ca="1" si="18"/>
        <v/>
      </c>
      <c r="AQ25" s="78" t="str">
        <f t="shared" ca="1" si="19"/>
        <v/>
      </c>
      <c r="AR25" s="78" t="str">
        <f t="shared" ca="1" si="20"/>
        <v/>
      </c>
      <c r="AS25" s="78" t="str">
        <f t="shared" ca="1" si="21"/>
        <v/>
      </c>
      <c r="AT25" s="78" t="str">
        <f t="shared" si="22"/>
        <v/>
      </c>
      <c r="AU25" s="81" t="str">
        <f t="shared" si="23"/>
        <v/>
      </c>
      <c r="AV25" s="78" t="str">
        <f t="shared" si="24"/>
        <v/>
      </c>
      <c r="AW25" s="81" t="str" cm="1">
        <f t="array" aca="1" ref="AW25" ca="1">IF(AJ25="","",SUMPRODUCT((WEEKDAY(ROW(INDIRECT(AK25&amp;":"&amp;AL25)),2)&lt;7)*(COUNTIF(fer_1,ROW(INDIRECT(AK25&amp;":"&amp;AL25)))=0)))</f>
        <v/>
      </c>
      <c r="AX25" s="78" t="str">
        <f t="shared" si="25"/>
        <v/>
      </c>
      <c r="AY25" s="41" t="str" cm="1">
        <f t="array" aca="1" ref="AY25" ca="1">IF(AJ25="","",SUMPRODUCT((WEEKDAY(ROW(INDIRECT(AK25&amp;":"&amp;AL25)),2)&lt;7)*(COUNTIF(fer_1,ROW(INDIRECT(AK25&amp;":"&amp;AL25)))=0)))</f>
        <v/>
      </c>
      <c r="BO25" s="37">
        <f t="shared" si="1"/>
        <v>21</v>
      </c>
      <c r="BP25" s="38">
        <f t="shared" si="26"/>
        <v>44652</v>
      </c>
      <c r="BQ25" s="39" t="str">
        <f t="shared" si="27"/>
        <v>2021 - 2022</v>
      </c>
    </row>
    <row r="26" spans="1:72" hidden="1" x14ac:dyDescent="0.25">
      <c r="AI26" s="78">
        <f t="shared" si="11"/>
        <v>6</v>
      </c>
      <c r="AJ26" s="79" t="str">
        <f t="shared" si="12"/>
        <v/>
      </c>
      <c r="AK26" s="80" t="str">
        <f t="shared" si="13"/>
        <v/>
      </c>
      <c r="AL26" s="80" t="str">
        <f t="shared" si="14"/>
        <v/>
      </c>
      <c r="AM26" s="78" t="str">
        <f t="shared" ca="1" si="15"/>
        <v/>
      </c>
      <c r="AN26" s="78" t="str">
        <f t="shared" ca="1" si="16"/>
        <v/>
      </c>
      <c r="AO26" s="78" t="str">
        <f t="shared" ca="1" si="17"/>
        <v/>
      </c>
      <c r="AP26" s="78" t="str">
        <f t="shared" ca="1" si="18"/>
        <v/>
      </c>
      <c r="AQ26" s="78" t="str">
        <f t="shared" ca="1" si="19"/>
        <v/>
      </c>
      <c r="AR26" s="78" t="str">
        <f t="shared" ca="1" si="20"/>
        <v/>
      </c>
      <c r="AS26" s="78" t="str">
        <f t="shared" ca="1" si="21"/>
        <v/>
      </c>
      <c r="AT26" s="78" t="str">
        <f t="shared" si="22"/>
        <v/>
      </c>
      <c r="AU26" s="81" t="str">
        <f t="shared" si="23"/>
        <v/>
      </c>
      <c r="AV26" s="78" t="str">
        <f t="shared" si="24"/>
        <v/>
      </c>
      <c r="AW26" s="81" t="str" cm="1">
        <f t="array" aca="1" ref="AW26" ca="1">IF(AJ26="","",SUMPRODUCT((WEEKDAY(ROW(INDIRECT(AK26&amp;":"&amp;AL26)),2)&lt;7)*(COUNTIF(fer_1,ROW(INDIRECT(AK26&amp;":"&amp;AL26)))=0)))</f>
        <v/>
      </c>
      <c r="AX26" s="78" t="str">
        <f t="shared" si="25"/>
        <v/>
      </c>
      <c r="AY26" s="41" t="str" cm="1">
        <f t="array" aca="1" ref="AY26" ca="1">IF(AJ26="","",SUMPRODUCT((WEEKDAY(ROW(INDIRECT(AK26&amp;":"&amp;AL26)),2)&lt;7)*(COUNTIF(fer_1,ROW(INDIRECT(AK26&amp;":"&amp;AL26)))=0)))</f>
        <v/>
      </c>
      <c r="BO26" s="37">
        <f t="shared" si="1"/>
        <v>22</v>
      </c>
      <c r="BP26" s="38">
        <f t="shared" si="26"/>
        <v>44682</v>
      </c>
      <c r="BQ26" s="39" t="str">
        <f t="shared" si="27"/>
        <v>2021 - 2022</v>
      </c>
    </row>
    <row r="27" spans="1:72" hidden="1" x14ac:dyDescent="0.25">
      <c r="AI27" s="78">
        <f t="shared" si="11"/>
        <v>7</v>
      </c>
      <c r="AJ27" s="79" t="str">
        <f t="shared" si="12"/>
        <v/>
      </c>
      <c r="AK27" s="80" t="str">
        <f t="shared" si="13"/>
        <v/>
      </c>
      <c r="AL27" s="80" t="str">
        <f t="shared" si="14"/>
        <v/>
      </c>
      <c r="AM27" s="78" t="str">
        <f t="shared" ca="1" si="15"/>
        <v/>
      </c>
      <c r="AN27" s="78" t="str">
        <f t="shared" ca="1" si="16"/>
        <v/>
      </c>
      <c r="AO27" s="78" t="str">
        <f t="shared" ca="1" si="17"/>
        <v/>
      </c>
      <c r="AP27" s="78" t="str">
        <f t="shared" ca="1" si="18"/>
        <v/>
      </c>
      <c r="AQ27" s="78" t="str">
        <f t="shared" ca="1" si="19"/>
        <v/>
      </c>
      <c r="AR27" s="78" t="str">
        <f t="shared" ca="1" si="20"/>
        <v/>
      </c>
      <c r="AS27" s="78" t="str">
        <f t="shared" ca="1" si="21"/>
        <v/>
      </c>
      <c r="AT27" s="78" t="str">
        <f t="shared" si="22"/>
        <v/>
      </c>
      <c r="AU27" s="81" t="str">
        <f t="shared" si="23"/>
        <v/>
      </c>
      <c r="AV27" s="78" t="str">
        <f t="shared" si="24"/>
        <v/>
      </c>
      <c r="AW27" s="81" t="str" cm="1">
        <f t="array" aca="1" ref="AW27" ca="1">IF(AJ27="","",SUMPRODUCT((WEEKDAY(ROW(INDIRECT(AK27&amp;":"&amp;AL27)),2)&lt;7)*(COUNTIF(fer_1,ROW(INDIRECT(AK27&amp;":"&amp;AL27)))=0)))</f>
        <v/>
      </c>
      <c r="AX27" s="78" t="str">
        <f t="shared" si="25"/>
        <v/>
      </c>
      <c r="AY27" s="41" t="str" cm="1">
        <f t="array" aca="1" ref="AY27" ca="1">IF(AJ27="","",SUMPRODUCT((WEEKDAY(ROW(INDIRECT(AK27&amp;":"&amp;AL27)),2)&lt;7)*(COUNTIF(fer_1,ROW(INDIRECT(AK27&amp;":"&amp;AL27)))=0)))</f>
        <v/>
      </c>
      <c r="BO27" s="37">
        <f t="shared" si="1"/>
        <v>23</v>
      </c>
      <c r="BP27" s="38">
        <f t="shared" si="26"/>
        <v>44713</v>
      </c>
      <c r="BQ27" s="39" t="str">
        <f t="shared" si="27"/>
        <v>2021 - 2022</v>
      </c>
    </row>
    <row r="28" spans="1:72" hidden="1" x14ac:dyDescent="0.25">
      <c r="AI28" s="78">
        <f t="shared" si="11"/>
        <v>8</v>
      </c>
      <c r="AJ28" s="79" t="str">
        <f t="shared" si="12"/>
        <v/>
      </c>
      <c r="AK28" s="80" t="str">
        <f t="shared" si="13"/>
        <v/>
      </c>
      <c r="AL28" s="80" t="str">
        <f t="shared" si="14"/>
        <v/>
      </c>
      <c r="AM28" s="78" t="str">
        <f t="shared" ca="1" si="15"/>
        <v/>
      </c>
      <c r="AN28" s="78" t="str">
        <f t="shared" ca="1" si="16"/>
        <v/>
      </c>
      <c r="AO28" s="78" t="str">
        <f t="shared" ca="1" si="17"/>
        <v/>
      </c>
      <c r="AP28" s="78" t="str">
        <f t="shared" ca="1" si="18"/>
        <v/>
      </c>
      <c r="AQ28" s="78" t="str">
        <f t="shared" ca="1" si="19"/>
        <v/>
      </c>
      <c r="AR28" s="78" t="str">
        <f t="shared" ca="1" si="20"/>
        <v/>
      </c>
      <c r="AS28" s="78" t="str">
        <f t="shared" ca="1" si="21"/>
        <v/>
      </c>
      <c r="AT28" s="78" t="str">
        <f t="shared" si="22"/>
        <v/>
      </c>
      <c r="AU28" s="81" t="str">
        <f t="shared" si="23"/>
        <v/>
      </c>
      <c r="AV28" s="78" t="str">
        <f t="shared" si="24"/>
        <v/>
      </c>
      <c r="AW28" s="81" t="str" cm="1">
        <f t="array" aca="1" ref="AW28" ca="1">IF(AJ28="","",SUMPRODUCT((WEEKDAY(ROW(INDIRECT(AK28&amp;":"&amp;AL28)),2)&lt;7)*(COUNTIF(fer_1,ROW(INDIRECT(AK28&amp;":"&amp;AL28)))=0)))</f>
        <v/>
      </c>
      <c r="AX28" s="78" t="str">
        <f t="shared" si="25"/>
        <v/>
      </c>
      <c r="AY28" s="41" t="str" cm="1">
        <f t="array" aca="1" ref="AY28" ca="1">IF(AJ28="","",SUMPRODUCT((WEEKDAY(ROW(INDIRECT(AK28&amp;":"&amp;AL28)),2)&lt;7)*(COUNTIF(fer_1,ROW(INDIRECT(AK28&amp;":"&amp;AL28)))=0)))</f>
        <v/>
      </c>
      <c r="BO28" s="37">
        <f t="shared" si="1"/>
        <v>24</v>
      </c>
      <c r="BP28" s="38">
        <f t="shared" si="26"/>
        <v>44743</v>
      </c>
      <c r="BQ28" s="39" t="str">
        <f t="shared" si="27"/>
        <v>2021 - 2022</v>
      </c>
    </row>
    <row r="29" spans="1:72" hidden="1" x14ac:dyDescent="0.25">
      <c r="AI29" s="78">
        <f t="shared" si="11"/>
        <v>9</v>
      </c>
      <c r="AJ29" s="79" t="str">
        <f t="shared" si="12"/>
        <v/>
      </c>
      <c r="AK29" s="80" t="str">
        <f t="shared" si="13"/>
        <v/>
      </c>
      <c r="AL29" s="80" t="str">
        <f t="shared" si="14"/>
        <v/>
      </c>
      <c r="AM29" s="78" t="str">
        <f t="shared" ca="1" si="15"/>
        <v/>
      </c>
      <c r="AN29" s="78" t="str">
        <f t="shared" ca="1" si="16"/>
        <v/>
      </c>
      <c r="AO29" s="78" t="str">
        <f t="shared" ca="1" si="17"/>
        <v/>
      </c>
      <c r="AP29" s="78" t="str">
        <f t="shared" ca="1" si="18"/>
        <v/>
      </c>
      <c r="AQ29" s="78" t="str">
        <f t="shared" ca="1" si="19"/>
        <v/>
      </c>
      <c r="AR29" s="78" t="str">
        <f t="shared" ca="1" si="20"/>
        <v/>
      </c>
      <c r="AS29" s="78" t="str">
        <f t="shared" ca="1" si="21"/>
        <v/>
      </c>
      <c r="AT29" s="78" t="str">
        <f t="shared" si="22"/>
        <v/>
      </c>
      <c r="AU29" s="81" t="str">
        <f t="shared" si="23"/>
        <v/>
      </c>
      <c r="AV29" s="78" t="str">
        <f t="shared" si="24"/>
        <v/>
      </c>
      <c r="AW29" s="81" t="str" cm="1">
        <f t="array" aca="1" ref="AW29" ca="1">IF(AJ29="","",SUMPRODUCT((WEEKDAY(ROW(INDIRECT(AK29&amp;":"&amp;AL29)),2)&lt;7)*(COUNTIF(fer_1,ROW(INDIRECT(AK29&amp;":"&amp;AL29)))=0)))</f>
        <v/>
      </c>
      <c r="AX29" s="78" t="str">
        <f t="shared" si="25"/>
        <v/>
      </c>
      <c r="AY29" s="41" t="str" cm="1">
        <f t="array" aca="1" ref="AY29" ca="1">IF(AJ29="","",SUMPRODUCT((WEEKDAY(ROW(INDIRECT(AK29&amp;":"&amp;AL29)),2)&lt;7)*(COUNTIF(fer_1,ROW(INDIRECT(AK29&amp;":"&amp;AL29)))=0)))</f>
        <v/>
      </c>
      <c r="BO29" s="37">
        <f t="shared" si="1"/>
        <v>25</v>
      </c>
      <c r="BP29" s="38">
        <f t="shared" si="26"/>
        <v>44774</v>
      </c>
      <c r="BQ29" s="48" t="str">
        <f t="shared" si="27"/>
        <v>2021 - 2022</v>
      </c>
    </row>
    <row r="30" spans="1:72" hidden="1" x14ac:dyDescent="0.25">
      <c r="AI30" s="78">
        <f t="shared" si="11"/>
        <v>10</v>
      </c>
      <c r="AJ30" s="79" t="str">
        <f t="shared" si="12"/>
        <v/>
      </c>
      <c r="AK30" s="80" t="str">
        <f t="shared" si="13"/>
        <v/>
      </c>
      <c r="AL30" s="80" t="str">
        <f t="shared" si="14"/>
        <v/>
      </c>
      <c r="AM30" s="78" t="str">
        <f t="shared" ca="1" si="15"/>
        <v/>
      </c>
      <c r="AN30" s="78" t="str">
        <f t="shared" ca="1" si="16"/>
        <v/>
      </c>
      <c r="AO30" s="78" t="str">
        <f t="shared" ca="1" si="17"/>
        <v/>
      </c>
      <c r="AP30" s="78" t="str">
        <f t="shared" ca="1" si="18"/>
        <v/>
      </c>
      <c r="AQ30" s="78" t="str">
        <f t="shared" ca="1" si="19"/>
        <v/>
      </c>
      <c r="AR30" s="78" t="str">
        <f t="shared" ca="1" si="20"/>
        <v/>
      </c>
      <c r="AS30" s="78" t="str">
        <f t="shared" ca="1" si="21"/>
        <v/>
      </c>
      <c r="AT30" s="78" t="str">
        <f t="shared" si="22"/>
        <v/>
      </c>
      <c r="AU30" s="81" t="str">
        <f t="shared" si="23"/>
        <v/>
      </c>
      <c r="AV30" s="78" t="str">
        <f t="shared" si="24"/>
        <v/>
      </c>
      <c r="AW30" s="81" t="str" cm="1">
        <f t="array" aca="1" ref="AW30" ca="1">IF(AJ30="","",SUMPRODUCT((WEEKDAY(ROW(INDIRECT(AK30&amp;":"&amp;AL30)),2)&lt;7)*(COUNTIF(fer_1,ROW(INDIRECT(AK30&amp;":"&amp;AL30)))=0)))</f>
        <v/>
      </c>
      <c r="AX30" s="78" t="str">
        <f t="shared" si="25"/>
        <v/>
      </c>
      <c r="AY30" s="41" t="str" cm="1">
        <f t="array" aca="1" ref="AY30" ca="1">IF(AJ30="","",SUMPRODUCT((WEEKDAY(ROW(INDIRECT(AK30&amp;":"&amp;AL30)),2)&lt;7)*(COUNTIF(fer_1,ROW(INDIRECT(AK30&amp;":"&amp;AL30)))=0)))</f>
        <v/>
      </c>
      <c r="BO30" s="37">
        <f t="shared" si="1"/>
        <v>26</v>
      </c>
      <c r="BP30" s="38">
        <f t="shared" si="26"/>
        <v>44805</v>
      </c>
      <c r="BQ30" s="39" t="str">
        <f t="shared" si="27"/>
        <v>2021 - 2022</v>
      </c>
    </row>
    <row r="31" spans="1:72" hidden="1" x14ac:dyDescent="0.25">
      <c r="AI31" s="78">
        <f t="shared" si="11"/>
        <v>11</v>
      </c>
      <c r="AJ31" s="79" t="str">
        <f t="shared" si="12"/>
        <v/>
      </c>
      <c r="AK31" s="80" t="str">
        <f t="shared" si="13"/>
        <v/>
      </c>
      <c r="AL31" s="80" t="str">
        <f t="shared" si="14"/>
        <v/>
      </c>
      <c r="AM31" s="78" t="str">
        <f t="shared" ca="1" si="15"/>
        <v/>
      </c>
      <c r="AN31" s="78" t="str">
        <f t="shared" ca="1" si="16"/>
        <v/>
      </c>
      <c r="AO31" s="78" t="str">
        <f t="shared" ca="1" si="17"/>
        <v/>
      </c>
      <c r="AP31" s="78" t="str">
        <f t="shared" ca="1" si="18"/>
        <v/>
      </c>
      <c r="AQ31" s="78" t="str">
        <f t="shared" ca="1" si="19"/>
        <v/>
      </c>
      <c r="AR31" s="78" t="str">
        <f t="shared" ca="1" si="20"/>
        <v/>
      </c>
      <c r="AS31" s="78" t="str">
        <f t="shared" ca="1" si="21"/>
        <v/>
      </c>
      <c r="AT31" s="78" t="str">
        <f t="shared" si="22"/>
        <v/>
      </c>
      <c r="AU31" s="81" t="str">
        <f t="shared" si="23"/>
        <v/>
      </c>
      <c r="AV31" s="78" t="str">
        <f t="shared" si="24"/>
        <v/>
      </c>
      <c r="AW31" s="81" t="str" cm="1">
        <f t="array" aca="1" ref="AW31" ca="1">IF(AJ31="","",SUMPRODUCT((WEEKDAY(ROW(INDIRECT(AK31&amp;":"&amp;AL31)),2)&lt;7)*(COUNTIF(fer_1,ROW(INDIRECT(AK31&amp;":"&amp;AL31)))=0)))</f>
        <v/>
      </c>
      <c r="AX31" s="78" t="str">
        <f t="shared" si="25"/>
        <v/>
      </c>
      <c r="AY31" s="41" t="str" cm="1">
        <f t="array" aca="1" ref="AY31" ca="1">IF(AJ31="","",SUMPRODUCT((WEEKDAY(ROW(INDIRECT(AK31&amp;":"&amp;AL31)),2)&lt;7)*(COUNTIF(fer_1,ROW(INDIRECT(AK31&amp;":"&amp;AL31)))=0)))</f>
        <v/>
      </c>
      <c r="BO31" s="37">
        <f t="shared" si="1"/>
        <v>27</v>
      </c>
      <c r="BP31" s="38">
        <f t="shared" si="26"/>
        <v>44835</v>
      </c>
      <c r="BQ31" s="39" t="str">
        <f t="shared" si="27"/>
        <v>2021 - 2022</v>
      </c>
    </row>
    <row r="32" spans="1:72" hidden="1" x14ac:dyDescent="0.25">
      <c r="AI32" s="78">
        <f t="shared" si="11"/>
        <v>12</v>
      </c>
      <c r="AJ32" s="79" t="str">
        <f t="shared" si="12"/>
        <v/>
      </c>
      <c r="AK32" s="80" t="str">
        <f t="shared" si="13"/>
        <v/>
      </c>
      <c r="AL32" s="80" t="str">
        <f t="shared" si="14"/>
        <v/>
      </c>
      <c r="AM32" s="78" t="str">
        <f t="shared" ca="1" si="15"/>
        <v/>
      </c>
      <c r="AN32" s="78" t="str">
        <f t="shared" ca="1" si="16"/>
        <v/>
      </c>
      <c r="AO32" s="78" t="str">
        <f t="shared" ca="1" si="17"/>
        <v/>
      </c>
      <c r="AP32" s="78" t="str">
        <f t="shared" ca="1" si="18"/>
        <v/>
      </c>
      <c r="AQ32" s="78" t="str">
        <f t="shared" ca="1" si="19"/>
        <v/>
      </c>
      <c r="AR32" s="78" t="str">
        <f t="shared" ca="1" si="20"/>
        <v/>
      </c>
      <c r="AS32" s="78" t="str">
        <f t="shared" ca="1" si="21"/>
        <v/>
      </c>
      <c r="AT32" s="78" t="str">
        <f t="shared" si="22"/>
        <v/>
      </c>
      <c r="AU32" s="81" t="str">
        <f t="shared" si="23"/>
        <v/>
      </c>
      <c r="AV32" s="78" t="str">
        <f t="shared" si="24"/>
        <v/>
      </c>
      <c r="AW32" s="81" t="str" cm="1">
        <f t="array" aca="1" ref="AW32" ca="1">IF(AJ32="","",SUMPRODUCT((WEEKDAY(ROW(INDIRECT(AK32&amp;":"&amp;AL32)),2)&lt;7)*(COUNTIF(fer_1,ROW(INDIRECT(AK32&amp;":"&amp;AL32)))=0)))</f>
        <v/>
      </c>
      <c r="AX32" s="78" t="str">
        <f t="shared" si="25"/>
        <v/>
      </c>
      <c r="AY32" s="41" t="str" cm="1">
        <f t="array" aca="1" ref="AY32" ca="1">IF(AJ32="","",SUMPRODUCT((WEEKDAY(ROW(INDIRECT(AK32&amp;":"&amp;AL32)),2)&lt;7)*(COUNTIF(fer_1,ROW(INDIRECT(AK32&amp;":"&amp;AL32)))=0)))</f>
        <v/>
      </c>
      <c r="BO32" s="37">
        <f t="shared" si="1"/>
        <v>28</v>
      </c>
      <c r="BP32" s="38">
        <f t="shared" si="26"/>
        <v>44866</v>
      </c>
      <c r="BQ32" s="39" t="str">
        <f t="shared" si="27"/>
        <v>2021 - 2022</v>
      </c>
    </row>
    <row r="33" spans="35:69" hidden="1" x14ac:dyDescent="0.25">
      <c r="AI33" s="78">
        <f t="shared" si="11"/>
        <v>13</v>
      </c>
      <c r="AJ33" s="79" t="str">
        <f t="shared" si="12"/>
        <v/>
      </c>
      <c r="AK33" s="80" t="str">
        <f t="shared" si="13"/>
        <v/>
      </c>
      <c r="AL33" s="80" t="str">
        <f t="shared" si="14"/>
        <v/>
      </c>
      <c r="AM33" s="78" t="str">
        <f t="shared" ca="1" si="15"/>
        <v/>
      </c>
      <c r="AN33" s="78" t="str">
        <f t="shared" ca="1" si="16"/>
        <v/>
      </c>
      <c r="AO33" s="78" t="str">
        <f t="shared" ca="1" si="17"/>
        <v/>
      </c>
      <c r="AP33" s="78" t="str">
        <f t="shared" ca="1" si="18"/>
        <v/>
      </c>
      <c r="AQ33" s="78" t="str">
        <f t="shared" ca="1" si="19"/>
        <v/>
      </c>
      <c r="AR33" s="78" t="str">
        <f t="shared" ca="1" si="20"/>
        <v/>
      </c>
      <c r="AS33" s="78" t="str">
        <f t="shared" ca="1" si="21"/>
        <v/>
      </c>
      <c r="AT33" s="78" t="str">
        <f t="shared" si="22"/>
        <v/>
      </c>
      <c r="AU33" s="81" t="str">
        <f t="shared" si="23"/>
        <v/>
      </c>
      <c r="AV33" s="78" t="str">
        <f t="shared" si="24"/>
        <v/>
      </c>
      <c r="AW33" s="81" t="str" cm="1">
        <f t="array" aca="1" ref="AW33" ca="1">IF(AJ33="","",SUMPRODUCT((WEEKDAY(ROW(INDIRECT(AK33&amp;":"&amp;AL33)),2)&lt;7)*(COUNTIF(fer_1,ROW(INDIRECT(AK33&amp;":"&amp;AL33)))=0)))</f>
        <v/>
      </c>
      <c r="AX33" s="78" t="str">
        <f t="shared" si="25"/>
        <v/>
      </c>
      <c r="AY33" s="41" t="str" cm="1">
        <f t="array" aca="1" ref="AY33" ca="1">IF(AJ33="","",SUMPRODUCT((WEEKDAY(ROW(INDIRECT(AK33&amp;":"&amp;AL33)),2)&lt;7)*(COUNTIF(fer_1,ROW(INDIRECT(AK33&amp;":"&amp;AL33)))=0)))</f>
        <v/>
      </c>
      <c r="BO33" s="37">
        <f t="shared" si="1"/>
        <v>29</v>
      </c>
      <c r="BP33" s="38">
        <f t="shared" si="26"/>
        <v>44896</v>
      </c>
      <c r="BQ33" s="39" t="str">
        <f t="shared" si="27"/>
        <v>2021 - 2022</v>
      </c>
    </row>
    <row r="34" spans="35:69" hidden="1" x14ac:dyDescent="0.25">
      <c r="AI34" s="78">
        <f t="shared" si="11"/>
        <v>14</v>
      </c>
      <c r="AJ34" s="79" t="str">
        <f t="shared" si="12"/>
        <v/>
      </c>
      <c r="AK34" s="80" t="str">
        <f t="shared" si="13"/>
        <v/>
      </c>
      <c r="AL34" s="80" t="str">
        <f t="shared" si="14"/>
        <v/>
      </c>
      <c r="AM34" s="78" t="str">
        <f t="shared" ca="1" si="15"/>
        <v/>
      </c>
      <c r="AN34" s="78" t="str">
        <f t="shared" ca="1" si="16"/>
        <v/>
      </c>
      <c r="AO34" s="78" t="str">
        <f t="shared" ca="1" si="17"/>
        <v/>
      </c>
      <c r="AP34" s="78" t="str">
        <f t="shared" ca="1" si="18"/>
        <v/>
      </c>
      <c r="AQ34" s="78" t="str">
        <f t="shared" ca="1" si="19"/>
        <v/>
      </c>
      <c r="AR34" s="78" t="str">
        <f t="shared" ca="1" si="20"/>
        <v/>
      </c>
      <c r="AS34" s="78" t="str">
        <f t="shared" ca="1" si="21"/>
        <v/>
      </c>
      <c r="AT34" s="78" t="str">
        <f t="shared" si="22"/>
        <v/>
      </c>
      <c r="AU34" s="81" t="str">
        <f t="shared" si="23"/>
        <v/>
      </c>
      <c r="AV34" s="78" t="str">
        <f t="shared" si="24"/>
        <v/>
      </c>
      <c r="AW34" s="81" t="str" cm="1">
        <f t="array" aca="1" ref="AW34" ca="1">IF(AJ34="","",SUMPRODUCT((WEEKDAY(ROW(INDIRECT(AK34&amp;":"&amp;AL34)),2)&lt;7)*(COUNTIF(fer_1,ROW(INDIRECT(AK34&amp;":"&amp;AL34)))=0)))</f>
        <v/>
      </c>
      <c r="AX34" s="78" t="str">
        <f t="shared" si="25"/>
        <v/>
      </c>
      <c r="AY34" s="41" t="str" cm="1">
        <f t="array" aca="1" ref="AY34" ca="1">IF(AJ34="","",SUMPRODUCT((WEEKDAY(ROW(INDIRECT(AK34&amp;":"&amp;AL34)),2)&lt;7)*(COUNTIF(fer_1,ROW(INDIRECT(AK34&amp;":"&amp;AL34)))=0)))</f>
        <v/>
      </c>
      <c r="BO34" s="37">
        <f t="shared" si="1"/>
        <v>30</v>
      </c>
      <c r="BP34" s="38">
        <f t="shared" si="26"/>
        <v>44927</v>
      </c>
      <c r="BQ34" s="39" t="str">
        <f t="shared" si="27"/>
        <v>2021 - 2022</v>
      </c>
    </row>
    <row r="35" spans="35:69" hidden="1" x14ac:dyDescent="0.25">
      <c r="AI35" s="78">
        <f t="shared" si="11"/>
        <v>15</v>
      </c>
      <c r="AJ35" s="79" t="str">
        <f t="shared" si="12"/>
        <v/>
      </c>
      <c r="AK35" s="80" t="str">
        <f t="shared" si="13"/>
        <v/>
      </c>
      <c r="AL35" s="80" t="str">
        <f t="shared" si="14"/>
        <v/>
      </c>
      <c r="AM35" s="78" t="str">
        <f t="shared" ca="1" si="15"/>
        <v/>
      </c>
      <c r="AN35" s="78" t="str">
        <f t="shared" ca="1" si="16"/>
        <v/>
      </c>
      <c r="AO35" s="78" t="str">
        <f t="shared" ca="1" si="17"/>
        <v/>
      </c>
      <c r="AP35" s="78" t="str">
        <f t="shared" ca="1" si="18"/>
        <v/>
      </c>
      <c r="AQ35" s="78" t="str">
        <f t="shared" ca="1" si="19"/>
        <v/>
      </c>
      <c r="AR35" s="78" t="str">
        <f t="shared" ca="1" si="20"/>
        <v/>
      </c>
      <c r="AS35" s="78" t="str">
        <f t="shared" ca="1" si="21"/>
        <v/>
      </c>
      <c r="AT35" s="78" t="str">
        <f t="shared" si="22"/>
        <v/>
      </c>
      <c r="AU35" s="81" t="str">
        <f t="shared" si="23"/>
        <v/>
      </c>
      <c r="AV35" s="78" t="str">
        <f t="shared" si="24"/>
        <v/>
      </c>
      <c r="AW35" s="81" t="str" cm="1">
        <f t="array" aca="1" ref="AW35" ca="1">IF(AJ35="","",SUMPRODUCT((WEEKDAY(ROW(INDIRECT(AK35&amp;":"&amp;AL35)),2)&lt;7)*(COUNTIF(fer_1,ROW(INDIRECT(AK35&amp;":"&amp;AL35)))=0)))</f>
        <v/>
      </c>
      <c r="AX35" s="78" t="str">
        <f t="shared" si="25"/>
        <v/>
      </c>
      <c r="AY35" s="41" t="str" cm="1">
        <f t="array" aca="1" ref="AY35" ca="1">IF(AJ35="","",SUMPRODUCT((WEEKDAY(ROW(INDIRECT(AK35&amp;":"&amp;AL35)),2)&lt;7)*(COUNTIF(fer_1,ROW(INDIRECT(AK35&amp;":"&amp;AL35)))=0)))</f>
        <v/>
      </c>
      <c r="BO35" s="37">
        <f t="shared" si="1"/>
        <v>31</v>
      </c>
      <c r="BP35" s="38">
        <f t="shared" si="26"/>
        <v>44958</v>
      </c>
      <c r="BQ35" s="39" t="str">
        <f t="shared" si="27"/>
        <v>2021 - 2022</v>
      </c>
    </row>
    <row r="36" spans="35:69" hidden="1" x14ac:dyDescent="0.25">
      <c r="AI36" s="78">
        <f t="shared" si="11"/>
        <v>16</v>
      </c>
      <c r="AJ36" s="79" t="str">
        <f t="shared" si="12"/>
        <v/>
      </c>
      <c r="AK36" s="80" t="str">
        <f t="shared" si="13"/>
        <v/>
      </c>
      <c r="AL36" s="80" t="str">
        <f t="shared" si="14"/>
        <v/>
      </c>
      <c r="AM36" s="78" t="str">
        <f t="shared" ca="1" si="15"/>
        <v/>
      </c>
      <c r="AN36" s="78" t="str">
        <f t="shared" ca="1" si="16"/>
        <v/>
      </c>
      <c r="AO36" s="78" t="str">
        <f t="shared" ca="1" si="17"/>
        <v/>
      </c>
      <c r="AP36" s="78" t="str">
        <f t="shared" ca="1" si="18"/>
        <v/>
      </c>
      <c r="AQ36" s="78" t="str">
        <f t="shared" ca="1" si="19"/>
        <v/>
      </c>
      <c r="AR36" s="78" t="str">
        <f t="shared" ca="1" si="20"/>
        <v/>
      </c>
      <c r="AS36" s="78" t="str">
        <f t="shared" ca="1" si="21"/>
        <v/>
      </c>
      <c r="AT36" s="78" t="str">
        <f t="shared" si="22"/>
        <v/>
      </c>
      <c r="AU36" s="81" t="str">
        <f t="shared" si="23"/>
        <v/>
      </c>
      <c r="AV36" s="78" t="str">
        <f t="shared" si="24"/>
        <v/>
      </c>
      <c r="AW36" s="81" t="str" cm="1">
        <f t="array" aca="1" ref="AW36" ca="1">IF(AJ36="","",SUMPRODUCT((WEEKDAY(ROW(INDIRECT(AK36&amp;":"&amp;AL36)),2)&lt;7)*(COUNTIF(fer_1,ROW(INDIRECT(AK36&amp;":"&amp;AL36)))=0)))</f>
        <v/>
      </c>
      <c r="AX36" s="78" t="str">
        <f t="shared" si="25"/>
        <v/>
      </c>
      <c r="AY36" s="41" t="str" cm="1">
        <f t="array" aca="1" ref="AY36" ca="1">IF(AJ36="","",SUMPRODUCT((WEEKDAY(ROW(INDIRECT(AK36&amp;":"&amp;AL36)),2)&lt;7)*(COUNTIF(fer_1,ROW(INDIRECT(AK36&amp;":"&amp;AL36)))=0)))</f>
        <v/>
      </c>
      <c r="BO36" s="37">
        <f t="shared" si="1"/>
        <v>32</v>
      </c>
      <c r="BP36" s="38">
        <f t="shared" si="26"/>
        <v>44986</v>
      </c>
      <c r="BQ36" s="39" t="str">
        <f t="shared" si="27"/>
        <v>2021 - 2022</v>
      </c>
    </row>
    <row r="37" spans="35:69" hidden="1" x14ac:dyDescent="0.25">
      <c r="AI37" s="78">
        <f t="shared" si="11"/>
        <v>17</v>
      </c>
      <c r="AJ37" s="79" t="str">
        <f t="shared" si="12"/>
        <v/>
      </c>
      <c r="AK37" s="80" t="str">
        <f t="shared" si="13"/>
        <v/>
      </c>
      <c r="AL37" s="80" t="str">
        <f t="shared" si="14"/>
        <v/>
      </c>
      <c r="AM37" s="78" t="str">
        <f t="shared" ca="1" si="15"/>
        <v/>
      </c>
      <c r="AN37" s="78" t="str">
        <f t="shared" ca="1" si="16"/>
        <v/>
      </c>
      <c r="AO37" s="78" t="str">
        <f t="shared" ca="1" si="17"/>
        <v/>
      </c>
      <c r="AP37" s="78" t="str">
        <f t="shared" ca="1" si="18"/>
        <v/>
      </c>
      <c r="AQ37" s="78" t="str">
        <f t="shared" ca="1" si="19"/>
        <v/>
      </c>
      <c r="AR37" s="78" t="str">
        <f t="shared" ca="1" si="20"/>
        <v/>
      </c>
      <c r="AS37" s="78" t="str">
        <f t="shared" ca="1" si="21"/>
        <v/>
      </c>
      <c r="AT37" s="78" t="str">
        <f t="shared" si="22"/>
        <v/>
      </c>
      <c r="AU37" s="81" t="str">
        <f t="shared" si="23"/>
        <v/>
      </c>
      <c r="AV37" s="78" t="str">
        <f t="shared" si="24"/>
        <v/>
      </c>
      <c r="AW37" s="81" t="str" cm="1">
        <f t="array" aca="1" ref="AW37" ca="1">IF(AJ37="","",SUMPRODUCT((WEEKDAY(ROW(INDIRECT(AK37&amp;":"&amp;AL37)),2)&lt;7)*(COUNTIF(fer_1,ROW(INDIRECT(AK37&amp;":"&amp;AL37)))=0)))</f>
        <v/>
      </c>
      <c r="AX37" s="78" t="str">
        <f t="shared" si="25"/>
        <v/>
      </c>
      <c r="AY37" s="41" t="str" cm="1">
        <f t="array" aca="1" ref="AY37" ca="1">IF(AJ37="","",SUMPRODUCT((WEEKDAY(ROW(INDIRECT(AK37&amp;":"&amp;AL37)),2)&lt;7)*(COUNTIF(fer_1,ROW(INDIRECT(AK37&amp;":"&amp;AL37)))=0)))</f>
        <v/>
      </c>
      <c r="BO37" s="37">
        <f t="shared" si="1"/>
        <v>33</v>
      </c>
      <c r="BP37" s="38">
        <f t="shared" si="26"/>
        <v>45017</v>
      </c>
      <c r="BQ37" s="39" t="str">
        <f t="shared" si="27"/>
        <v>2021 - 2022</v>
      </c>
    </row>
    <row r="38" spans="35:69" hidden="1" x14ac:dyDescent="0.25">
      <c r="AI38" s="78">
        <f t="shared" si="11"/>
        <v>18</v>
      </c>
      <c r="AJ38" s="79" t="str">
        <f t="shared" si="12"/>
        <v/>
      </c>
      <c r="AK38" s="80" t="str">
        <f t="shared" si="13"/>
        <v/>
      </c>
      <c r="AL38" s="80" t="str">
        <f t="shared" si="14"/>
        <v/>
      </c>
      <c r="AM38" s="78" t="str">
        <f t="shared" ca="1" si="15"/>
        <v/>
      </c>
      <c r="AN38" s="78" t="str">
        <f t="shared" ca="1" si="16"/>
        <v/>
      </c>
      <c r="AO38" s="78" t="str">
        <f t="shared" ca="1" si="17"/>
        <v/>
      </c>
      <c r="AP38" s="78" t="str">
        <f t="shared" ca="1" si="18"/>
        <v/>
      </c>
      <c r="AQ38" s="78" t="str">
        <f t="shared" ca="1" si="19"/>
        <v/>
      </c>
      <c r="AR38" s="78" t="str">
        <f t="shared" ca="1" si="20"/>
        <v/>
      </c>
      <c r="AS38" s="78" t="str">
        <f t="shared" ca="1" si="21"/>
        <v/>
      </c>
      <c r="AT38" s="78" t="str">
        <f t="shared" si="22"/>
        <v/>
      </c>
      <c r="AU38" s="81" t="str">
        <f t="shared" si="23"/>
        <v/>
      </c>
      <c r="AV38" s="78" t="str">
        <f t="shared" si="24"/>
        <v/>
      </c>
      <c r="AW38" s="81" t="str" cm="1">
        <f t="array" aca="1" ref="AW38" ca="1">IF(AJ38="","",SUMPRODUCT((WEEKDAY(ROW(INDIRECT(AK38&amp;":"&amp;AL38)),2)&lt;7)*(COUNTIF(fer_1,ROW(INDIRECT(AK38&amp;":"&amp;AL38)))=0)))</f>
        <v/>
      </c>
      <c r="AX38" s="78" t="str">
        <f t="shared" si="25"/>
        <v/>
      </c>
      <c r="AY38" s="41" t="str" cm="1">
        <f t="array" aca="1" ref="AY38" ca="1">IF(AJ38="","",SUMPRODUCT((WEEKDAY(ROW(INDIRECT(AK38&amp;":"&amp;AL38)),2)&lt;7)*(COUNTIF(fer_1,ROW(INDIRECT(AK38&amp;":"&amp;AL38)))=0)))</f>
        <v/>
      </c>
      <c r="BO38" s="37">
        <f t="shared" si="1"/>
        <v>34</v>
      </c>
      <c r="BP38" s="38">
        <f t="shared" si="26"/>
        <v>45047</v>
      </c>
      <c r="BQ38" s="39" t="str">
        <f t="shared" si="27"/>
        <v>2021 - 2022</v>
      </c>
    </row>
    <row r="39" spans="35:69" hidden="1" x14ac:dyDescent="0.25">
      <c r="AI39" s="78">
        <f t="shared" si="11"/>
        <v>19</v>
      </c>
      <c r="AJ39" s="79" t="str">
        <f t="shared" si="12"/>
        <v/>
      </c>
      <c r="AK39" s="80" t="str">
        <f t="shared" si="13"/>
        <v/>
      </c>
      <c r="AL39" s="80" t="str">
        <f t="shared" si="14"/>
        <v/>
      </c>
      <c r="AM39" s="78" t="str">
        <f t="shared" ca="1" si="15"/>
        <v/>
      </c>
      <c r="AN39" s="78" t="str">
        <f t="shared" ca="1" si="16"/>
        <v/>
      </c>
      <c r="AO39" s="78" t="str">
        <f t="shared" ca="1" si="17"/>
        <v/>
      </c>
      <c r="AP39" s="78" t="str">
        <f t="shared" ca="1" si="18"/>
        <v/>
      </c>
      <c r="AQ39" s="78" t="str">
        <f t="shared" ca="1" si="19"/>
        <v/>
      </c>
      <c r="AR39" s="78" t="str">
        <f t="shared" ca="1" si="20"/>
        <v/>
      </c>
      <c r="AS39" s="78" t="str">
        <f t="shared" ca="1" si="21"/>
        <v/>
      </c>
      <c r="AT39" s="78" t="str">
        <f t="shared" si="22"/>
        <v/>
      </c>
      <c r="AU39" s="81" t="str">
        <f t="shared" si="23"/>
        <v/>
      </c>
      <c r="AV39" s="78" t="str">
        <f t="shared" si="24"/>
        <v/>
      </c>
      <c r="AW39" s="81" t="str" cm="1">
        <f t="array" aca="1" ref="AW39" ca="1">IF(AJ39="","",SUMPRODUCT((WEEKDAY(ROW(INDIRECT(AK39&amp;":"&amp;AL39)),2)&lt;7)*(COUNTIF(fer_1,ROW(INDIRECT(AK39&amp;":"&amp;AL39)))=0)))</f>
        <v/>
      </c>
      <c r="AX39" s="78" t="str">
        <f t="shared" si="25"/>
        <v/>
      </c>
      <c r="AY39" s="41" t="str" cm="1">
        <f t="array" aca="1" ref="AY39" ca="1">IF(AJ39="","",SUMPRODUCT((WEEKDAY(ROW(INDIRECT(AK39&amp;":"&amp;AL39)),2)&lt;7)*(COUNTIF(fer_1,ROW(INDIRECT(AK39&amp;":"&amp;AL39)))=0)))</f>
        <v/>
      </c>
      <c r="BO39" s="37">
        <f t="shared" si="1"/>
        <v>35</v>
      </c>
      <c r="BP39" s="38">
        <f t="shared" si="26"/>
        <v>45078</v>
      </c>
      <c r="BQ39" s="39" t="str">
        <f t="shared" si="27"/>
        <v>2021 - 2022</v>
      </c>
    </row>
    <row r="40" spans="35:69" hidden="1" x14ac:dyDescent="0.25">
      <c r="AI40" s="78">
        <f t="shared" si="11"/>
        <v>20</v>
      </c>
      <c r="AJ40" s="79" t="str">
        <f t="shared" si="12"/>
        <v/>
      </c>
      <c r="AK40" s="80" t="str">
        <f t="shared" si="13"/>
        <v/>
      </c>
      <c r="AL40" s="80" t="str">
        <f t="shared" si="14"/>
        <v/>
      </c>
      <c r="AM40" s="78" t="str">
        <f t="shared" ca="1" si="15"/>
        <v/>
      </c>
      <c r="AN40" s="78" t="str">
        <f t="shared" ca="1" si="16"/>
        <v/>
      </c>
      <c r="AO40" s="78" t="str">
        <f t="shared" ca="1" si="17"/>
        <v/>
      </c>
      <c r="AP40" s="78" t="str">
        <f t="shared" ca="1" si="18"/>
        <v/>
      </c>
      <c r="AQ40" s="78" t="str">
        <f t="shared" ca="1" si="19"/>
        <v/>
      </c>
      <c r="AR40" s="78" t="str">
        <f t="shared" ca="1" si="20"/>
        <v/>
      </c>
      <c r="AS40" s="78" t="str">
        <f t="shared" ca="1" si="21"/>
        <v/>
      </c>
      <c r="AT40" s="78" t="str">
        <f t="shared" si="22"/>
        <v/>
      </c>
      <c r="AU40" s="81" t="str">
        <f t="shared" si="23"/>
        <v/>
      </c>
      <c r="AV40" s="78" t="str">
        <f t="shared" si="24"/>
        <v/>
      </c>
      <c r="AW40" s="81" t="str" cm="1">
        <f t="array" aca="1" ref="AW40" ca="1">IF(AJ40="","",SUMPRODUCT((WEEKDAY(ROW(INDIRECT(AK40&amp;":"&amp;AL40)),2)&lt;7)*(COUNTIF(fer_1,ROW(INDIRECT(AK40&amp;":"&amp;AL40)))=0)))</f>
        <v/>
      </c>
      <c r="AX40" s="78" t="str">
        <f t="shared" si="25"/>
        <v/>
      </c>
      <c r="AY40" s="41" t="str" cm="1">
        <f t="array" aca="1" ref="AY40" ca="1">IF(AJ40="","",SUMPRODUCT((WEEKDAY(ROW(INDIRECT(AK40&amp;":"&amp;AL40)),2)&lt;7)*(COUNTIF(fer_1,ROW(INDIRECT(AK40&amp;":"&amp;AL40)))=0)))</f>
        <v/>
      </c>
      <c r="BO40" s="37">
        <f t="shared" si="1"/>
        <v>36</v>
      </c>
      <c r="BP40" s="38">
        <f t="shared" si="26"/>
        <v>45108</v>
      </c>
      <c r="BQ40" s="39" t="str">
        <f t="shared" si="27"/>
        <v>2021 - 2022</v>
      </c>
    </row>
    <row r="41" spans="35:69" hidden="1" x14ac:dyDescent="0.25">
      <c r="AI41" s="78">
        <f t="shared" si="11"/>
        <v>21</v>
      </c>
      <c r="AJ41" s="79" t="str">
        <f t="shared" si="12"/>
        <v/>
      </c>
      <c r="AK41" s="80" t="str">
        <f t="shared" si="13"/>
        <v/>
      </c>
      <c r="AL41" s="80" t="str">
        <f t="shared" si="14"/>
        <v/>
      </c>
      <c r="AM41" s="78" t="str">
        <f t="shared" ca="1" si="15"/>
        <v/>
      </c>
      <c r="AN41" s="78" t="str">
        <f t="shared" ca="1" si="16"/>
        <v/>
      </c>
      <c r="AO41" s="78" t="str">
        <f t="shared" ca="1" si="17"/>
        <v/>
      </c>
      <c r="AP41" s="78" t="str">
        <f t="shared" ca="1" si="18"/>
        <v/>
      </c>
      <c r="AQ41" s="78" t="str">
        <f t="shared" ca="1" si="19"/>
        <v/>
      </c>
      <c r="AR41" s="78" t="str">
        <f t="shared" ca="1" si="20"/>
        <v/>
      </c>
      <c r="AS41" s="78" t="str">
        <f t="shared" ca="1" si="21"/>
        <v/>
      </c>
      <c r="AT41" s="78" t="str">
        <f t="shared" si="22"/>
        <v/>
      </c>
      <c r="AU41" s="81" t="str">
        <f t="shared" si="23"/>
        <v/>
      </c>
      <c r="AV41" s="78" t="str">
        <f t="shared" si="24"/>
        <v/>
      </c>
      <c r="AW41" s="81" t="str" cm="1">
        <f t="array" aca="1" ref="AW41" ca="1">IF(AJ41="","",SUMPRODUCT((WEEKDAY(ROW(INDIRECT(AK41&amp;":"&amp;AL41)),2)&lt;7)*(COUNTIF(fer_1,ROW(INDIRECT(AK41&amp;":"&amp;AL41)))=0)))</f>
        <v/>
      </c>
      <c r="AX41" s="78" t="str">
        <f t="shared" si="25"/>
        <v/>
      </c>
      <c r="AY41" s="41" t="str" cm="1">
        <f t="array" aca="1" ref="AY41" ca="1">IF(AJ41="","",SUMPRODUCT((WEEKDAY(ROW(INDIRECT(AK41&amp;":"&amp;AL41)),2)&lt;7)*(COUNTIF(fer_1,ROW(INDIRECT(AK41&amp;":"&amp;AL41)))=0)))</f>
        <v/>
      </c>
      <c r="BO41" s="37">
        <f t="shared" si="1"/>
        <v>37</v>
      </c>
      <c r="BP41" s="38">
        <f t="shared" si="26"/>
        <v>45139</v>
      </c>
      <c r="BQ41" s="48" t="str">
        <f t="shared" si="27"/>
        <v>2021 - 2022</v>
      </c>
    </row>
    <row r="42" spans="35:69" hidden="1" x14ac:dyDescent="0.25">
      <c r="AI42" s="78">
        <f t="shared" si="11"/>
        <v>22</v>
      </c>
      <c r="AJ42" s="79" t="str">
        <f t="shared" si="12"/>
        <v/>
      </c>
      <c r="AK42" s="80" t="str">
        <f t="shared" si="13"/>
        <v/>
      </c>
      <c r="AL42" s="80" t="str">
        <f t="shared" si="14"/>
        <v/>
      </c>
      <c r="AM42" s="78" t="str">
        <f t="shared" ca="1" si="15"/>
        <v/>
      </c>
      <c r="AN42" s="78" t="str">
        <f t="shared" ca="1" si="16"/>
        <v/>
      </c>
      <c r="AO42" s="78" t="str">
        <f t="shared" ca="1" si="17"/>
        <v/>
      </c>
      <c r="AP42" s="78" t="str">
        <f t="shared" ca="1" si="18"/>
        <v/>
      </c>
      <c r="AQ42" s="78" t="str">
        <f t="shared" ca="1" si="19"/>
        <v/>
      </c>
      <c r="AR42" s="78" t="str">
        <f t="shared" ca="1" si="20"/>
        <v/>
      </c>
      <c r="AS42" s="78" t="str">
        <f t="shared" ca="1" si="21"/>
        <v/>
      </c>
      <c r="AT42" s="78" t="str">
        <f t="shared" si="22"/>
        <v/>
      </c>
      <c r="AU42" s="81" t="str">
        <f t="shared" si="23"/>
        <v/>
      </c>
      <c r="AV42" s="78" t="str">
        <f t="shared" si="24"/>
        <v/>
      </c>
      <c r="AW42" s="81" t="str" cm="1">
        <f t="array" aca="1" ref="AW42" ca="1">IF(AJ42="","",SUMPRODUCT((WEEKDAY(ROW(INDIRECT(AK42&amp;":"&amp;AL42)),2)&lt;7)*(COUNTIF(fer_1,ROW(INDIRECT(AK42&amp;":"&amp;AL42)))=0)))</f>
        <v/>
      </c>
      <c r="AX42" s="78" t="str">
        <f t="shared" si="25"/>
        <v/>
      </c>
      <c r="AY42" s="41" t="str" cm="1">
        <f t="array" aca="1" ref="AY42" ca="1">IF(AJ42="","",SUMPRODUCT((WEEKDAY(ROW(INDIRECT(AK42&amp;":"&amp;AL42)),2)&lt;7)*(COUNTIF(fer_1,ROW(INDIRECT(AK42&amp;":"&amp;AL42)))=0)))</f>
        <v/>
      </c>
      <c r="BO42" s="37">
        <f t="shared" si="1"/>
        <v>38</v>
      </c>
      <c r="BP42" s="38">
        <f t="shared" si="26"/>
        <v>45170</v>
      </c>
      <c r="BQ42" s="39" t="str">
        <f t="shared" si="27"/>
        <v>2021 - 2022</v>
      </c>
    </row>
    <row r="43" spans="35:69" hidden="1" x14ac:dyDescent="0.25">
      <c r="AI43" s="78">
        <f t="shared" si="11"/>
        <v>23</v>
      </c>
      <c r="AJ43" s="79" t="str">
        <f t="shared" si="12"/>
        <v/>
      </c>
      <c r="AK43" s="80" t="str">
        <f t="shared" si="13"/>
        <v/>
      </c>
      <c r="AL43" s="80" t="str">
        <f t="shared" si="14"/>
        <v/>
      </c>
      <c r="AM43" s="78" t="str">
        <f t="shared" ca="1" si="15"/>
        <v/>
      </c>
      <c r="AN43" s="78" t="str">
        <f t="shared" ca="1" si="16"/>
        <v/>
      </c>
      <c r="AO43" s="78" t="str">
        <f t="shared" ca="1" si="17"/>
        <v/>
      </c>
      <c r="AP43" s="78" t="str">
        <f t="shared" ca="1" si="18"/>
        <v/>
      </c>
      <c r="AQ43" s="78" t="str">
        <f t="shared" ca="1" si="19"/>
        <v/>
      </c>
      <c r="AR43" s="78" t="str">
        <f t="shared" ca="1" si="20"/>
        <v/>
      </c>
      <c r="AS43" s="78" t="str">
        <f t="shared" ca="1" si="21"/>
        <v/>
      </c>
      <c r="AT43" s="78" t="str">
        <f t="shared" si="22"/>
        <v/>
      </c>
      <c r="AU43" s="81" t="str">
        <f t="shared" si="23"/>
        <v/>
      </c>
      <c r="AV43" s="78" t="str">
        <f t="shared" si="24"/>
        <v/>
      </c>
      <c r="AW43" s="81" t="str" cm="1">
        <f t="array" aca="1" ref="AW43" ca="1">IF(AJ43="","",SUMPRODUCT((WEEKDAY(ROW(INDIRECT(AK43&amp;":"&amp;AL43)),2)&lt;7)*(COUNTIF(fer_1,ROW(INDIRECT(AK43&amp;":"&amp;AL43)))=0)))</f>
        <v/>
      </c>
      <c r="AX43" s="78" t="str">
        <f t="shared" si="25"/>
        <v/>
      </c>
      <c r="AY43" s="41" t="str" cm="1">
        <f t="array" aca="1" ref="AY43" ca="1">IF(AJ43="","",SUMPRODUCT((WEEKDAY(ROW(INDIRECT(AK43&amp;":"&amp;AL43)),2)&lt;7)*(COUNTIF(fer_1,ROW(INDIRECT(AK43&amp;":"&amp;AL43)))=0)))</f>
        <v/>
      </c>
      <c r="BO43" s="37">
        <f t="shared" si="1"/>
        <v>39</v>
      </c>
      <c r="BP43" s="38">
        <f t="shared" si="26"/>
        <v>45200</v>
      </c>
      <c r="BQ43" s="39" t="str">
        <f t="shared" si="27"/>
        <v>2021 - 2022</v>
      </c>
    </row>
    <row r="44" spans="35:69" hidden="1" x14ac:dyDescent="0.25">
      <c r="AI44" s="78">
        <f t="shared" si="11"/>
        <v>24</v>
      </c>
      <c r="AJ44" s="79" t="str">
        <f t="shared" si="12"/>
        <v/>
      </c>
      <c r="AK44" s="80" t="str">
        <f t="shared" si="13"/>
        <v/>
      </c>
      <c r="AL44" s="80" t="str">
        <f t="shared" si="14"/>
        <v/>
      </c>
      <c r="AM44" s="78" t="str">
        <f t="shared" ca="1" si="15"/>
        <v/>
      </c>
      <c r="AN44" s="78" t="str">
        <f t="shared" ca="1" si="16"/>
        <v/>
      </c>
      <c r="AO44" s="78" t="str">
        <f t="shared" ca="1" si="17"/>
        <v/>
      </c>
      <c r="AP44" s="78" t="str">
        <f t="shared" ca="1" si="18"/>
        <v/>
      </c>
      <c r="AQ44" s="78" t="str">
        <f t="shared" ca="1" si="19"/>
        <v/>
      </c>
      <c r="AR44" s="78" t="str">
        <f t="shared" ca="1" si="20"/>
        <v/>
      </c>
      <c r="AS44" s="78" t="str">
        <f t="shared" ca="1" si="21"/>
        <v/>
      </c>
      <c r="AT44" s="78" t="str">
        <f t="shared" si="22"/>
        <v/>
      </c>
      <c r="AU44" s="81" t="str">
        <f t="shared" si="23"/>
        <v/>
      </c>
      <c r="AV44" s="78" t="str">
        <f t="shared" si="24"/>
        <v/>
      </c>
      <c r="AW44" s="81" t="str" cm="1">
        <f t="array" aca="1" ref="AW44" ca="1">IF(AJ44="","",SUMPRODUCT((WEEKDAY(ROW(INDIRECT(AK44&amp;":"&amp;AL44)),2)&lt;7)*(COUNTIF(fer_1,ROW(INDIRECT(AK44&amp;":"&amp;AL44)))=0)))</f>
        <v/>
      </c>
      <c r="AX44" s="78" t="str">
        <f t="shared" si="25"/>
        <v/>
      </c>
      <c r="AY44" s="41" t="str" cm="1">
        <f t="array" aca="1" ref="AY44" ca="1">IF(AJ44="","",SUMPRODUCT((WEEKDAY(ROW(INDIRECT(AK44&amp;":"&amp;AL44)),2)&lt;7)*(COUNTIF(fer_1,ROW(INDIRECT(AK44&amp;":"&amp;AL44)))=0)))</f>
        <v/>
      </c>
      <c r="BO44" s="37">
        <f t="shared" si="1"/>
        <v>40</v>
      </c>
      <c r="BP44" s="38">
        <f t="shared" si="26"/>
        <v>45231</v>
      </c>
      <c r="BQ44" s="39" t="str">
        <f t="shared" si="27"/>
        <v>2021 - 2022</v>
      </c>
    </row>
    <row r="45" spans="35:69" hidden="1" x14ac:dyDescent="0.25">
      <c r="AI45" s="78">
        <f t="shared" si="11"/>
        <v>25</v>
      </c>
      <c r="AJ45" s="79" t="str">
        <f t="shared" si="12"/>
        <v/>
      </c>
      <c r="AK45" s="80" t="str">
        <f t="shared" si="13"/>
        <v/>
      </c>
      <c r="AL45" s="80" t="str">
        <f t="shared" si="14"/>
        <v/>
      </c>
      <c r="AM45" s="78" t="str">
        <f t="shared" ca="1" si="15"/>
        <v/>
      </c>
      <c r="AN45" s="78" t="str">
        <f t="shared" ca="1" si="16"/>
        <v/>
      </c>
      <c r="AO45" s="78" t="str">
        <f t="shared" ca="1" si="17"/>
        <v/>
      </c>
      <c r="AP45" s="78" t="str">
        <f t="shared" ca="1" si="18"/>
        <v/>
      </c>
      <c r="AQ45" s="78" t="str">
        <f t="shared" ca="1" si="19"/>
        <v/>
      </c>
      <c r="AR45" s="78" t="str">
        <f t="shared" ca="1" si="20"/>
        <v/>
      </c>
      <c r="AS45" s="78" t="str">
        <f t="shared" ca="1" si="21"/>
        <v/>
      </c>
      <c r="AT45" s="78" t="str">
        <f t="shared" si="22"/>
        <v/>
      </c>
      <c r="AU45" s="81" t="str">
        <f t="shared" si="23"/>
        <v/>
      </c>
      <c r="AV45" s="78" t="str">
        <f t="shared" si="24"/>
        <v/>
      </c>
      <c r="AW45" s="81" t="str" cm="1">
        <f t="array" aca="1" ref="AW45" ca="1">IF(AJ45="","",SUMPRODUCT((WEEKDAY(ROW(INDIRECT(AK45&amp;":"&amp;AL45)),2)&lt;7)*(COUNTIF(fer_1,ROW(INDIRECT(AK45&amp;":"&amp;AL45)))=0)))</f>
        <v/>
      </c>
      <c r="AX45" s="78" t="str">
        <f t="shared" si="25"/>
        <v/>
      </c>
      <c r="AY45" s="41" t="str" cm="1">
        <f t="array" aca="1" ref="AY45" ca="1">IF(AJ45="","",SUMPRODUCT((WEEKDAY(ROW(INDIRECT(AK45&amp;":"&amp;AL45)),2)&lt;7)*(COUNTIF(fer_1,ROW(INDIRECT(AK45&amp;":"&amp;AL45)))=0)))</f>
        <v/>
      </c>
      <c r="BO45" s="37">
        <f t="shared" si="1"/>
        <v>41</v>
      </c>
      <c r="BP45" s="38">
        <f t="shared" si="26"/>
        <v>45261</v>
      </c>
      <c r="BQ45" s="39" t="str">
        <f t="shared" si="27"/>
        <v>2021 - 2022</v>
      </c>
    </row>
    <row r="46" spans="35:69" hidden="1" x14ac:dyDescent="0.25">
      <c r="AI46" s="78">
        <f t="shared" si="11"/>
        <v>26</v>
      </c>
      <c r="AJ46" s="79" t="str">
        <f t="shared" si="12"/>
        <v/>
      </c>
      <c r="AK46" s="80" t="str">
        <f t="shared" si="13"/>
        <v/>
      </c>
      <c r="AL46" s="80" t="str">
        <f t="shared" si="14"/>
        <v/>
      </c>
      <c r="AM46" s="78" t="str">
        <f t="shared" ca="1" si="15"/>
        <v/>
      </c>
      <c r="AN46" s="78" t="str">
        <f t="shared" ca="1" si="16"/>
        <v/>
      </c>
      <c r="AO46" s="78" t="str">
        <f t="shared" ca="1" si="17"/>
        <v/>
      </c>
      <c r="AP46" s="78" t="str">
        <f t="shared" ca="1" si="18"/>
        <v/>
      </c>
      <c r="AQ46" s="78" t="str">
        <f t="shared" ca="1" si="19"/>
        <v/>
      </c>
      <c r="AR46" s="78" t="str">
        <f t="shared" ca="1" si="20"/>
        <v/>
      </c>
      <c r="AS46" s="78" t="str">
        <f t="shared" ca="1" si="21"/>
        <v/>
      </c>
      <c r="AT46" s="78" t="str">
        <f t="shared" si="22"/>
        <v/>
      </c>
      <c r="AU46" s="81" t="str">
        <f t="shared" si="23"/>
        <v/>
      </c>
      <c r="AV46" s="78" t="str">
        <f t="shared" si="24"/>
        <v/>
      </c>
      <c r="AW46" s="81" t="str" cm="1">
        <f t="array" aca="1" ref="AW46" ca="1">IF(AJ46="","",SUMPRODUCT((WEEKDAY(ROW(INDIRECT(AK46&amp;":"&amp;AL46)),2)&lt;7)*(COUNTIF(fer_1,ROW(INDIRECT(AK46&amp;":"&amp;AL46)))=0)))</f>
        <v/>
      </c>
      <c r="AX46" s="78" t="str">
        <f t="shared" si="25"/>
        <v/>
      </c>
      <c r="AY46" s="41" t="str" cm="1">
        <f t="array" aca="1" ref="AY46" ca="1">IF(AJ46="","",SUMPRODUCT((WEEKDAY(ROW(INDIRECT(AK46&amp;":"&amp;AL46)),2)&lt;7)*(COUNTIF(fer_1,ROW(INDIRECT(AK46&amp;":"&amp;AL46)))=0)))</f>
        <v/>
      </c>
      <c r="BO46" s="37">
        <f t="shared" si="1"/>
        <v>42</v>
      </c>
      <c r="BP46" s="38">
        <f t="shared" ref="BP46" si="28">IF(ISERROR(EDATE(BP45,1)),"",IF(OR(EDATE(BP45,1)&gt;EOMONTH(fim,0),BP45=""),"",EDATE(BP45,1)))</f>
        <v>45292</v>
      </c>
      <c r="BQ46" s="39" t="str">
        <f t="shared" ref="BQ46:BQ52" si="29">IF(BP46="","",BQ45)</f>
        <v>2021 - 2022</v>
      </c>
    </row>
    <row r="47" spans="35:69" hidden="1" x14ac:dyDescent="0.25">
      <c r="AI47" s="78">
        <f t="shared" si="11"/>
        <v>27</v>
      </c>
      <c r="AJ47" s="79" t="str">
        <f t="shared" si="12"/>
        <v/>
      </c>
      <c r="AK47" s="80" t="str">
        <f t="shared" si="13"/>
        <v/>
      </c>
      <c r="AL47" s="80" t="str">
        <f t="shared" si="14"/>
        <v/>
      </c>
      <c r="AM47" s="78" t="str">
        <f t="shared" ca="1" si="15"/>
        <v/>
      </c>
      <c r="AN47" s="78" t="str">
        <f t="shared" ca="1" si="16"/>
        <v/>
      </c>
      <c r="AO47" s="78" t="str">
        <f t="shared" ca="1" si="17"/>
        <v/>
      </c>
      <c r="AP47" s="78" t="str">
        <f t="shared" ca="1" si="18"/>
        <v/>
      </c>
      <c r="AQ47" s="78" t="str">
        <f t="shared" ca="1" si="19"/>
        <v/>
      </c>
      <c r="AR47" s="78" t="str">
        <f t="shared" ca="1" si="20"/>
        <v/>
      </c>
      <c r="AS47" s="78" t="str">
        <f t="shared" ca="1" si="21"/>
        <v/>
      </c>
      <c r="AT47" s="78" t="str">
        <f t="shared" si="22"/>
        <v/>
      </c>
      <c r="AU47" s="81" t="str">
        <f t="shared" si="23"/>
        <v/>
      </c>
      <c r="AV47" s="78" t="str">
        <f t="shared" si="24"/>
        <v/>
      </c>
      <c r="AW47" s="81" t="str" cm="1">
        <f t="array" aca="1" ref="AW47" ca="1">IF(AJ47="","",SUMPRODUCT((WEEKDAY(ROW(INDIRECT(AK47&amp;":"&amp;AL47)),2)&lt;7)*(COUNTIF(fer_1,ROW(INDIRECT(AK47&amp;":"&amp;AL47)))=0)))</f>
        <v/>
      </c>
      <c r="AX47" s="78" t="str">
        <f t="shared" si="25"/>
        <v/>
      </c>
      <c r="AY47" s="41" t="str" cm="1">
        <f t="array" aca="1" ref="AY47" ca="1">IF(AJ47="","",SUMPRODUCT((WEEKDAY(ROW(INDIRECT(AK47&amp;":"&amp;AL47)),2)&lt;7)*(COUNTIF(fer_1,ROW(INDIRECT(AK47&amp;":"&amp;AL47)))=0)))</f>
        <v/>
      </c>
      <c r="BO47" s="37">
        <f t="shared" si="1"/>
        <v>43</v>
      </c>
      <c r="BP47" s="38">
        <f t="shared" ref="BP47" si="30">IF(ISERROR(EDATE(BP46,1)),"",IF(OR(EDATE(BP46,1)&gt;EOMONTH(fim,0),BP46=""),"",EDATE(BP46,1)))</f>
        <v>45323</v>
      </c>
      <c r="BQ47" s="39" t="str">
        <f t="shared" si="29"/>
        <v>2021 - 2022</v>
      </c>
    </row>
    <row r="48" spans="35:69" hidden="1" x14ac:dyDescent="0.25">
      <c r="AI48" s="78">
        <f t="shared" si="11"/>
        <v>28</v>
      </c>
      <c r="AJ48" s="79" t="str">
        <f t="shared" si="12"/>
        <v/>
      </c>
      <c r="AK48" s="80" t="str">
        <f t="shared" si="13"/>
        <v/>
      </c>
      <c r="AL48" s="80" t="str">
        <f t="shared" si="14"/>
        <v/>
      </c>
      <c r="AM48" s="78" t="str">
        <f t="shared" ca="1" si="15"/>
        <v/>
      </c>
      <c r="AN48" s="78" t="str">
        <f t="shared" ca="1" si="16"/>
        <v/>
      </c>
      <c r="AO48" s="78" t="str">
        <f t="shared" ca="1" si="17"/>
        <v/>
      </c>
      <c r="AP48" s="78" t="str">
        <f t="shared" ca="1" si="18"/>
        <v/>
      </c>
      <c r="AQ48" s="78" t="str">
        <f t="shared" ca="1" si="19"/>
        <v/>
      </c>
      <c r="AR48" s="78" t="str">
        <f t="shared" ca="1" si="20"/>
        <v/>
      </c>
      <c r="AS48" s="78" t="str">
        <f t="shared" ca="1" si="21"/>
        <v/>
      </c>
      <c r="AT48" s="78" t="str">
        <f t="shared" si="22"/>
        <v/>
      </c>
      <c r="AU48" s="81" t="str">
        <f t="shared" si="23"/>
        <v/>
      </c>
      <c r="AV48" s="78" t="str">
        <f t="shared" si="24"/>
        <v/>
      </c>
      <c r="AW48" s="81" t="str" cm="1">
        <f t="array" aca="1" ref="AW48" ca="1">IF(AJ48="","",SUMPRODUCT((WEEKDAY(ROW(INDIRECT(AK48&amp;":"&amp;AL48)),2)&lt;7)*(COUNTIF(fer_1,ROW(INDIRECT(AK48&amp;":"&amp;AL48)))=0)))</f>
        <v/>
      </c>
      <c r="AX48" s="78" t="str">
        <f t="shared" si="25"/>
        <v/>
      </c>
      <c r="AY48" s="41" t="str" cm="1">
        <f t="array" aca="1" ref="AY48" ca="1">IF(AJ48="","",SUMPRODUCT((WEEKDAY(ROW(INDIRECT(AK48&amp;":"&amp;AL48)),2)&lt;7)*(COUNTIF(fer_1,ROW(INDIRECT(AK48&amp;":"&amp;AL48)))=0)))</f>
        <v/>
      </c>
      <c r="BO48" s="37">
        <f t="shared" si="1"/>
        <v>44</v>
      </c>
      <c r="BP48" s="38">
        <f t="shared" ref="BP48" si="31">IF(ISERROR(EDATE(BP47,1)),"",IF(OR(EDATE(BP47,1)&gt;EOMONTH(fim,0),BP47=""),"",EDATE(BP47,1)))</f>
        <v>45352</v>
      </c>
      <c r="BQ48" s="39" t="str">
        <f t="shared" si="29"/>
        <v>2021 - 2022</v>
      </c>
    </row>
    <row r="49" spans="35:69" hidden="1" x14ac:dyDescent="0.25">
      <c r="AI49" s="78">
        <f t="shared" si="11"/>
        <v>29</v>
      </c>
      <c r="AJ49" s="79" t="str">
        <f t="shared" si="12"/>
        <v/>
      </c>
      <c r="AK49" s="80" t="str">
        <f t="shared" si="13"/>
        <v/>
      </c>
      <c r="AL49" s="80" t="str">
        <f t="shared" si="14"/>
        <v/>
      </c>
      <c r="AM49" s="78" t="str">
        <f t="shared" ca="1" si="15"/>
        <v/>
      </c>
      <c r="AN49" s="78" t="str">
        <f t="shared" ca="1" si="16"/>
        <v/>
      </c>
      <c r="AO49" s="78" t="str">
        <f t="shared" ca="1" si="17"/>
        <v/>
      </c>
      <c r="AP49" s="78" t="str">
        <f t="shared" ca="1" si="18"/>
        <v/>
      </c>
      <c r="AQ49" s="78" t="str">
        <f t="shared" ca="1" si="19"/>
        <v/>
      </c>
      <c r="AR49" s="78" t="str">
        <f t="shared" ca="1" si="20"/>
        <v/>
      </c>
      <c r="AS49" s="78" t="str">
        <f t="shared" ca="1" si="21"/>
        <v/>
      </c>
      <c r="AT49" s="78" t="str">
        <f t="shared" si="22"/>
        <v/>
      </c>
      <c r="AU49" s="81" t="str">
        <f t="shared" si="23"/>
        <v/>
      </c>
      <c r="AV49" s="78" t="str">
        <f t="shared" si="24"/>
        <v/>
      </c>
      <c r="AW49" s="81" t="str" cm="1">
        <f t="array" aca="1" ref="AW49" ca="1">IF(AJ49="","",SUMPRODUCT((WEEKDAY(ROW(INDIRECT(AK49&amp;":"&amp;AL49)),2)&lt;7)*(COUNTIF(fer_1,ROW(INDIRECT(AK49&amp;":"&amp;AL49)))=0)))</f>
        <v/>
      </c>
      <c r="AX49" s="78" t="str">
        <f t="shared" si="25"/>
        <v/>
      </c>
      <c r="AY49" s="41" t="str" cm="1">
        <f t="array" aca="1" ref="AY49" ca="1">IF(AJ49="","",SUMPRODUCT((WEEKDAY(ROW(INDIRECT(AK49&amp;":"&amp;AL49)),2)&lt;7)*(COUNTIF(fer_1,ROW(INDIRECT(AK49&amp;":"&amp;AL49)))=0)))</f>
        <v/>
      </c>
      <c r="BO49" s="37">
        <f t="shared" si="1"/>
        <v>45</v>
      </c>
      <c r="BP49" s="38">
        <f t="shared" ref="BP49" si="32">IF(ISERROR(EDATE(BP48,1)),"",IF(OR(EDATE(BP48,1)&gt;EOMONTH(fim,0),BP48=""),"",EDATE(BP48,1)))</f>
        <v>45383</v>
      </c>
      <c r="BQ49" s="39" t="str">
        <f t="shared" si="29"/>
        <v>2021 - 2022</v>
      </c>
    </row>
    <row r="50" spans="35:69" hidden="1" x14ac:dyDescent="0.25">
      <c r="AI50" s="78">
        <f t="shared" si="11"/>
        <v>30</v>
      </c>
      <c r="AJ50" s="79" t="str">
        <f t="shared" si="12"/>
        <v/>
      </c>
      <c r="AK50" s="80" t="str">
        <f t="shared" si="13"/>
        <v/>
      </c>
      <c r="AL50" s="80" t="str">
        <f t="shared" si="14"/>
        <v/>
      </c>
      <c r="AM50" s="78" t="str">
        <f t="shared" ca="1" si="15"/>
        <v/>
      </c>
      <c r="AN50" s="78" t="str">
        <f t="shared" ca="1" si="16"/>
        <v/>
      </c>
      <c r="AO50" s="78" t="str">
        <f t="shared" ca="1" si="17"/>
        <v/>
      </c>
      <c r="AP50" s="78" t="str">
        <f t="shared" ca="1" si="18"/>
        <v/>
      </c>
      <c r="AQ50" s="78" t="str">
        <f t="shared" ca="1" si="19"/>
        <v/>
      </c>
      <c r="AR50" s="78" t="str">
        <f t="shared" ca="1" si="20"/>
        <v/>
      </c>
      <c r="AS50" s="78" t="str">
        <f t="shared" ca="1" si="21"/>
        <v/>
      </c>
      <c r="AT50" s="78" t="str">
        <f t="shared" si="22"/>
        <v/>
      </c>
      <c r="AU50" s="81" t="str">
        <f t="shared" si="23"/>
        <v/>
      </c>
      <c r="AV50" s="78" t="str">
        <f t="shared" si="24"/>
        <v/>
      </c>
      <c r="AW50" s="81" t="str" cm="1">
        <f t="array" aca="1" ref="AW50" ca="1">IF(AJ50="","",SUMPRODUCT((WEEKDAY(ROW(INDIRECT(AK50&amp;":"&amp;AL50)),2)&lt;7)*(COUNTIF(fer_1,ROW(INDIRECT(AK50&amp;":"&amp;AL50)))=0)))</f>
        <v/>
      </c>
      <c r="AX50" s="78" t="str">
        <f t="shared" si="25"/>
        <v/>
      </c>
      <c r="AY50" s="41" t="str" cm="1">
        <f t="array" aca="1" ref="AY50" ca="1">IF(AJ50="","",SUMPRODUCT((WEEKDAY(ROW(INDIRECT(AK50&amp;":"&amp;AL50)),2)&lt;7)*(COUNTIF(fer_1,ROW(INDIRECT(AK50&amp;":"&amp;AL50)))=0)))</f>
        <v/>
      </c>
      <c r="BO50" s="37">
        <f t="shared" si="1"/>
        <v>46</v>
      </c>
      <c r="BP50" s="38">
        <f t="shared" ref="BP50" si="33">IF(ISERROR(EDATE(BP49,1)),"",IF(OR(EDATE(BP49,1)&gt;EOMONTH(fim,0),BP49=""),"",EDATE(BP49,1)))</f>
        <v>45413</v>
      </c>
      <c r="BQ50" s="39" t="str">
        <f t="shared" si="29"/>
        <v>2021 - 2022</v>
      </c>
    </row>
    <row r="51" spans="35:69" hidden="1" x14ac:dyDescent="0.25">
      <c r="AI51" s="78">
        <f t="shared" si="11"/>
        <v>31</v>
      </c>
      <c r="AJ51" s="79" t="str">
        <f t="shared" si="12"/>
        <v/>
      </c>
      <c r="AK51" s="80" t="str">
        <f t="shared" si="13"/>
        <v/>
      </c>
      <c r="AL51" s="80" t="str">
        <f t="shared" si="14"/>
        <v/>
      </c>
      <c r="AM51" s="78" t="str">
        <f t="shared" ca="1" si="15"/>
        <v/>
      </c>
      <c r="AN51" s="78" t="str">
        <f t="shared" ca="1" si="16"/>
        <v/>
      </c>
      <c r="AO51" s="78" t="str">
        <f t="shared" ca="1" si="17"/>
        <v/>
      </c>
      <c r="AP51" s="78" t="str">
        <f t="shared" ca="1" si="18"/>
        <v/>
      </c>
      <c r="AQ51" s="78" t="str">
        <f t="shared" ca="1" si="19"/>
        <v/>
      </c>
      <c r="AR51" s="78" t="str">
        <f t="shared" ca="1" si="20"/>
        <v/>
      </c>
      <c r="AS51" s="78" t="str">
        <f t="shared" ca="1" si="21"/>
        <v/>
      </c>
      <c r="AT51" s="78" t="str">
        <f t="shared" si="22"/>
        <v/>
      </c>
      <c r="AU51" s="81" t="str">
        <f t="shared" si="23"/>
        <v/>
      </c>
      <c r="AV51" s="78" t="str">
        <f t="shared" si="24"/>
        <v/>
      </c>
      <c r="AW51" s="81" t="str" cm="1">
        <f t="array" aca="1" ref="AW51" ca="1">IF(AJ51="","",SUMPRODUCT((WEEKDAY(ROW(INDIRECT(AK51&amp;":"&amp;AL51)),2)&lt;7)*(COUNTIF(fer_1,ROW(INDIRECT(AK51&amp;":"&amp;AL51)))=0)))</f>
        <v/>
      </c>
      <c r="AX51" s="78" t="str">
        <f t="shared" si="25"/>
        <v/>
      </c>
      <c r="AY51" s="41" t="str" cm="1">
        <f t="array" aca="1" ref="AY51" ca="1">IF(AJ51="","",SUMPRODUCT((WEEKDAY(ROW(INDIRECT(AK51&amp;":"&amp;AL51)),2)&lt;7)*(COUNTIF(fer_1,ROW(INDIRECT(AK51&amp;":"&amp;AL51)))=0)))</f>
        <v/>
      </c>
      <c r="BO51" s="37">
        <f t="shared" si="1"/>
        <v>47</v>
      </c>
      <c r="BP51" s="38">
        <f t="shared" ref="BP51" si="34">IF(ISERROR(EDATE(BP50,1)),"",IF(OR(EDATE(BP50,1)&gt;EOMONTH(fim,0),BP50=""),"",EDATE(BP50,1)))</f>
        <v>45444</v>
      </c>
      <c r="BQ51" s="39" t="str">
        <f t="shared" si="29"/>
        <v>2021 - 2022</v>
      </c>
    </row>
    <row r="52" spans="35:69" hidden="1" x14ac:dyDescent="0.25">
      <c r="AI52" s="78">
        <f t="shared" si="11"/>
        <v>32</v>
      </c>
      <c r="AJ52" s="79" t="str">
        <f t="shared" si="12"/>
        <v/>
      </c>
      <c r="AK52" s="80" t="str">
        <f t="shared" si="13"/>
        <v/>
      </c>
      <c r="AL52" s="80" t="str">
        <f t="shared" si="14"/>
        <v/>
      </c>
      <c r="AM52" s="78" t="str">
        <f t="shared" ca="1" si="15"/>
        <v/>
      </c>
      <c r="AN52" s="78" t="str">
        <f t="shared" ca="1" si="16"/>
        <v/>
      </c>
      <c r="AO52" s="78" t="str">
        <f t="shared" ca="1" si="17"/>
        <v/>
      </c>
      <c r="AP52" s="78" t="str">
        <f t="shared" ca="1" si="18"/>
        <v/>
      </c>
      <c r="AQ52" s="78" t="str">
        <f t="shared" ca="1" si="19"/>
        <v/>
      </c>
      <c r="AR52" s="78" t="str">
        <f t="shared" ca="1" si="20"/>
        <v/>
      </c>
      <c r="AS52" s="78" t="str">
        <f t="shared" ca="1" si="21"/>
        <v/>
      </c>
      <c r="AT52" s="78" t="str">
        <f t="shared" si="22"/>
        <v/>
      </c>
      <c r="AU52" s="81" t="str">
        <f t="shared" si="23"/>
        <v/>
      </c>
      <c r="AV52" s="78" t="str">
        <f t="shared" si="24"/>
        <v/>
      </c>
      <c r="AW52" s="81" t="str" cm="1">
        <f t="array" aca="1" ref="AW52" ca="1">IF(AJ52="","",SUMPRODUCT((WEEKDAY(ROW(INDIRECT(AK52&amp;":"&amp;AL52)),2)&lt;7)*(COUNTIF(fer_1,ROW(INDIRECT(AK52&amp;":"&amp;AL52)))=0)))</f>
        <v/>
      </c>
      <c r="AX52" s="78" t="str">
        <f t="shared" si="25"/>
        <v/>
      </c>
      <c r="AY52" s="41" t="str" cm="1">
        <f t="array" aca="1" ref="AY52" ca="1">IF(AJ52="","",SUMPRODUCT((WEEKDAY(ROW(INDIRECT(AK52&amp;":"&amp;AL52)),2)&lt;7)*(COUNTIF(fer_1,ROW(INDIRECT(AK52&amp;":"&amp;AL52)))=0)))</f>
        <v/>
      </c>
      <c r="BO52" s="37">
        <f t="shared" si="1"/>
        <v>48</v>
      </c>
      <c r="BP52" s="38">
        <f t="shared" ref="BP52" si="35">IF(ISERROR(EDATE(BP51,1)),"",IF(OR(EDATE(BP51,1)&gt;EOMONTH(fim,0),BP51=""),"",EDATE(BP51,1)))</f>
        <v>45474</v>
      </c>
      <c r="BQ52" s="39" t="str">
        <f t="shared" si="29"/>
        <v>2021 - 2022</v>
      </c>
    </row>
    <row r="53" spans="35:69" hidden="1" x14ac:dyDescent="0.25">
      <c r="AI53" s="78">
        <f t="shared" si="11"/>
        <v>33</v>
      </c>
      <c r="AJ53" s="79" t="str">
        <f t="shared" si="12"/>
        <v/>
      </c>
      <c r="AK53" s="80" t="str">
        <f t="shared" si="13"/>
        <v/>
      </c>
      <c r="AL53" s="80" t="str">
        <f t="shared" si="14"/>
        <v/>
      </c>
      <c r="AM53" s="78" t="str">
        <f t="shared" ca="1" si="15"/>
        <v/>
      </c>
      <c r="AN53" s="78" t="str">
        <f t="shared" ca="1" si="16"/>
        <v/>
      </c>
      <c r="AO53" s="78" t="str">
        <f t="shared" ca="1" si="17"/>
        <v/>
      </c>
      <c r="AP53" s="78" t="str">
        <f t="shared" ca="1" si="18"/>
        <v/>
      </c>
      <c r="AQ53" s="78" t="str">
        <f t="shared" ca="1" si="19"/>
        <v/>
      </c>
      <c r="AR53" s="78" t="str">
        <f t="shared" ca="1" si="20"/>
        <v/>
      </c>
      <c r="AS53" s="78" t="str">
        <f t="shared" ca="1" si="21"/>
        <v/>
      </c>
      <c r="AT53" s="78" t="str">
        <f t="shared" si="22"/>
        <v/>
      </c>
      <c r="AU53" s="81" t="str">
        <f t="shared" si="23"/>
        <v/>
      </c>
      <c r="AV53" s="78" t="str">
        <f t="shared" si="24"/>
        <v/>
      </c>
      <c r="AW53" s="81" t="str" cm="1">
        <f t="array" aca="1" ref="AW53" ca="1">IF(AJ53="","",SUMPRODUCT((WEEKDAY(ROW(INDIRECT(AK53&amp;":"&amp;AL53)),2)&lt;7)*(COUNTIF(fer_1,ROW(INDIRECT(AK53&amp;":"&amp;AL53)))=0)))</f>
        <v/>
      </c>
      <c r="AX53" s="78" t="str">
        <f t="shared" si="25"/>
        <v/>
      </c>
      <c r="AY53" s="41" t="str" cm="1">
        <f t="array" aca="1" ref="AY53" ca="1">IF(AJ53="","",SUMPRODUCT((WEEKDAY(ROW(INDIRECT(AK53&amp;":"&amp;AL53)),2)&lt;7)*(COUNTIF(fer_1,ROW(INDIRECT(AK53&amp;":"&amp;AL53)))=0)))</f>
        <v/>
      </c>
      <c r="BO53" s="37">
        <f t="shared" si="1"/>
        <v>49</v>
      </c>
      <c r="BP53" s="47">
        <f t="shared" ref="BP53" si="36">IF(ISERROR(EDATE(BP52,1)),"",IF(OR(EDATE(BP52,1)&gt;EOMONTH(fim,0),BP52=""),"",EDATE(BP52,1)))</f>
        <v>45505</v>
      </c>
      <c r="BQ53" s="48" t="str">
        <f>IF(BP53="","",CONCATENATE(YEAR(BP53)," - ",YEAR(BP53)+1))</f>
        <v>2024 - 2025</v>
      </c>
    </row>
    <row r="54" spans="35:69" hidden="1" x14ac:dyDescent="0.25">
      <c r="AI54" s="78">
        <f t="shared" si="11"/>
        <v>34</v>
      </c>
      <c r="AJ54" s="79" t="str">
        <f t="shared" si="12"/>
        <v/>
      </c>
      <c r="AK54" s="80" t="str">
        <f t="shared" si="13"/>
        <v/>
      </c>
      <c r="AL54" s="80" t="str">
        <f t="shared" si="14"/>
        <v/>
      </c>
      <c r="AM54" s="78" t="str">
        <f t="shared" ca="1" si="15"/>
        <v/>
      </c>
      <c r="AN54" s="78" t="str">
        <f t="shared" ca="1" si="16"/>
        <v/>
      </c>
      <c r="AO54" s="78" t="str">
        <f t="shared" ca="1" si="17"/>
        <v/>
      </c>
      <c r="AP54" s="78" t="str">
        <f t="shared" ca="1" si="18"/>
        <v/>
      </c>
      <c r="AQ54" s="78" t="str">
        <f t="shared" ca="1" si="19"/>
        <v/>
      </c>
      <c r="AR54" s="78" t="str">
        <f t="shared" ca="1" si="20"/>
        <v/>
      </c>
      <c r="AS54" s="78" t="str">
        <f t="shared" ca="1" si="21"/>
        <v/>
      </c>
      <c r="AT54" s="78" t="str">
        <f t="shared" si="22"/>
        <v/>
      </c>
      <c r="AU54" s="81" t="str">
        <f t="shared" si="23"/>
        <v/>
      </c>
      <c r="AV54" s="78" t="str">
        <f t="shared" si="24"/>
        <v/>
      </c>
      <c r="AW54" s="81" t="str" cm="1">
        <f t="array" aca="1" ref="AW54" ca="1">IF(AJ54="","",SUMPRODUCT((WEEKDAY(ROW(INDIRECT(AK54&amp;":"&amp;AL54)),2)&lt;7)*(COUNTIF(fer_1,ROW(INDIRECT(AK54&amp;":"&amp;AL54)))=0)))</f>
        <v/>
      </c>
      <c r="AX54" s="78" t="str">
        <f t="shared" si="25"/>
        <v/>
      </c>
      <c r="AY54" s="41" t="str" cm="1">
        <f t="array" aca="1" ref="AY54" ca="1">IF(AJ54="","",SUMPRODUCT((WEEKDAY(ROW(INDIRECT(AK54&amp;":"&amp;AL54)),2)&lt;7)*(COUNTIF(fer_1,ROW(INDIRECT(AK54&amp;":"&amp;AL54)))=0)))</f>
        <v/>
      </c>
      <c r="BO54" s="37">
        <f t="shared" si="1"/>
        <v>50</v>
      </c>
      <c r="BP54" s="38">
        <f t="shared" ref="BP54" si="37">IF(ISERROR(EDATE(BP53,1)),"",IF(OR(EDATE(BP53,1)&gt;EOMONTH(fim,0),BP53=""),"",EDATE(BP53,1)))</f>
        <v>45536</v>
      </c>
      <c r="BQ54" s="39" t="str">
        <f>IF(BP54="","",BQ53)</f>
        <v>2024 - 2025</v>
      </c>
    </row>
    <row r="55" spans="35:69" hidden="1" x14ac:dyDescent="0.25">
      <c r="AI55" s="78">
        <f t="shared" si="11"/>
        <v>35</v>
      </c>
      <c r="AJ55" s="79" t="str">
        <f t="shared" si="12"/>
        <v/>
      </c>
      <c r="AK55" s="80" t="str">
        <f t="shared" si="13"/>
        <v/>
      </c>
      <c r="AL55" s="80" t="str">
        <f t="shared" si="14"/>
        <v/>
      </c>
      <c r="AM55" s="78" t="str">
        <f t="shared" ca="1" si="15"/>
        <v/>
      </c>
      <c r="AN55" s="78" t="str">
        <f t="shared" ca="1" si="16"/>
        <v/>
      </c>
      <c r="AO55" s="78" t="str">
        <f t="shared" ca="1" si="17"/>
        <v/>
      </c>
      <c r="AP55" s="78" t="str">
        <f t="shared" ca="1" si="18"/>
        <v/>
      </c>
      <c r="AQ55" s="78" t="str">
        <f t="shared" ca="1" si="19"/>
        <v/>
      </c>
      <c r="AR55" s="78" t="str">
        <f t="shared" ca="1" si="20"/>
        <v/>
      </c>
      <c r="AS55" s="78" t="str">
        <f t="shared" ca="1" si="21"/>
        <v/>
      </c>
      <c r="AT55" s="78" t="str">
        <f t="shared" si="22"/>
        <v/>
      </c>
      <c r="AU55" s="81" t="str">
        <f t="shared" si="23"/>
        <v/>
      </c>
      <c r="AV55" s="78" t="str">
        <f t="shared" si="24"/>
        <v/>
      </c>
      <c r="AW55" s="81" t="str" cm="1">
        <f t="array" aca="1" ref="AW55" ca="1">IF(AJ55="","",SUMPRODUCT((WEEKDAY(ROW(INDIRECT(AK55&amp;":"&amp;AL55)),2)&lt;7)*(COUNTIF(fer_1,ROW(INDIRECT(AK55&amp;":"&amp;AL55)))=0)))</f>
        <v/>
      </c>
      <c r="AX55" s="78" t="str">
        <f t="shared" si="25"/>
        <v/>
      </c>
      <c r="AY55" s="41" t="str" cm="1">
        <f t="array" aca="1" ref="AY55" ca="1">IF(AJ55="","",SUMPRODUCT((WEEKDAY(ROW(INDIRECT(AK55&amp;":"&amp;AL55)),2)&lt;7)*(COUNTIF(fer_1,ROW(INDIRECT(AK55&amp;":"&amp;AL55)))=0)))</f>
        <v/>
      </c>
      <c r="BO55" s="37">
        <f t="shared" si="1"/>
        <v>51</v>
      </c>
      <c r="BP55" s="38">
        <f t="shared" ref="BP55" si="38">IF(ISERROR(EDATE(BP54,1)),"",IF(OR(EDATE(BP54,1)&gt;EOMONTH(fim,0),BP54=""),"",EDATE(BP54,1)))</f>
        <v>45566</v>
      </c>
      <c r="BQ55" s="39" t="str">
        <f t="shared" ref="BQ55:BQ64" si="39">IF(BP55="","",BQ54)</f>
        <v>2024 - 2025</v>
      </c>
    </row>
    <row r="56" spans="35:69" hidden="1" x14ac:dyDescent="0.25">
      <c r="AI56" s="78">
        <f t="shared" si="11"/>
        <v>36</v>
      </c>
      <c r="AJ56" s="79" t="str">
        <f t="shared" si="12"/>
        <v/>
      </c>
      <c r="AK56" s="80" t="str">
        <f t="shared" si="13"/>
        <v/>
      </c>
      <c r="AL56" s="80" t="str">
        <f t="shared" si="14"/>
        <v/>
      </c>
      <c r="AM56" s="78" t="str">
        <f t="shared" ca="1" si="15"/>
        <v/>
      </c>
      <c r="AN56" s="78" t="str">
        <f t="shared" ca="1" si="16"/>
        <v/>
      </c>
      <c r="AO56" s="78" t="str">
        <f t="shared" ca="1" si="17"/>
        <v/>
      </c>
      <c r="AP56" s="78" t="str">
        <f t="shared" ca="1" si="18"/>
        <v/>
      </c>
      <c r="AQ56" s="78" t="str">
        <f t="shared" ca="1" si="19"/>
        <v/>
      </c>
      <c r="AR56" s="78" t="str">
        <f t="shared" ca="1" si="20"/>
        <v/>
      </c>
      <c r="AS56" s="78" t="str">
        <f t="shared" ca="1" si="21"/>
        <v/>
      </c>
      <c r="AT56" s="78" t="str">
        <f t="shared" si="22"/>
        <v/>
      </c>
      <c r="AU56" s="81" t="str">
        <f t="shared" si="23"/>
        <v/>
      </c>
      <c r="AV56" s="78" t="str">
        <f t="shared" si="24"/>
        <v/>
      </c>
      <c r="AW56" s="81" t="str" cm="1">
        <f t="array" aca="1" ref="AW56" ca="1">IF(AJ56="","",SUMPRODUCT((WEEKDAY(ROW(INDIRECT(AK56&amp;":"&amp;AL56)),2)&lt;7)*(COUNTIF(fer_1,ROW(INDIRECT(AK56&amp;":"&amp;AL56)))=0)))</f>
        <v/>
      </c>
      <c r="AX56" s="78" t="str">
        <f t="shared" si="25"/>
        <v/>
      </c>
      <c r="AY56" s="41" t="str" cm="1">
        <f t="array" aca="1" ref="AY56" ca="1">IF(AJ56="","",SUMPRODUCT((WEEKDAY(ROW(INDIRECT(AK56&amp;":"&amp;AL56)),2)&lt;7)*(COUNTIF(fer_1,ROW(INDIRECT(AK56&amp;":"&amp;AL56)))=0)))</f>
        <v/>
      </c>
      <c r="BO56" s="37">
        <f t="shared" si="1"/>
        <v>52</v>
      </c>
      <c r="BP56" s="38">
        <f t="shared" ref="BP56" si="40">IF(ISERROR(EDATE(BP55,1)),"",IF(OR(EDATE(BP55,1)&gt;EOMONTH(fim,0),BP55=""),"",EDATE(BP55,1)))</f>
        <v>45597</v>
      </c>
      <c r="BQ56" s="39" t="str">
        <f t="shared" si="39"/>
        <v>2024 - 2025</v>
      </c>
    </row>
    <row r="57" spans="35:69" hidden="1" x14ac:dyDescent="0.25">
      <c r="AI57" s="78">
        <f t="shared" si="11"/>
        <v>37</v>
      </c>
      <c r="AJ57" s="79" t="str">
        <f t="shared" si="12"/>
        <v/>
      </c>
      <c r="AK57" s="80" t="str">
        <f t="shared" si="13"/>
        <v/>
      </c>
      <c r="AL57" s="80" t="str">
        <f t="shared" si="14"/>
        <v/>
      </c>
      <c r="AM57" s="78" t="str">
        <f t="shared" ca="1" si="15"/>
        <v/>
      </c>
      <c r="AN57" s="78" t="str">
        <f t="shared" ca="1" si="16"/>
        <v/>
      </c>
      <c r="AO57" s="78" t="str">
        <f t="shared" ca="1" si="17"/>
        <v/>
      </c>
      <c r="AP57" s="78" t="str">
        <f t="shared" ca="1" si="18"/>
        <v/>
      </c>
      <c r="AQ57" s="78" t="str">
        <f t="shared" ca="1" si="19"/>
        <v/>
      </c>
      <c r="AR57" s="78" t="str">
        <f t="shared" ca="1" si="20"/>
        <v/>
      </c>
      <c r="AS57" s="78" t="str">
        <f t="shared" ca="1" si="21"/>
        <v/>
      </c>
      <c r="AT57" s="78" t="str">
        <f t="shared" si="22"/>
        <v/>
      </c>
      <c r="AU57" s="81" t="str">
        <f t="shared" si="23"/>
        <v/>
      </c>
      <c r="AV57" s="78" t="str">
        <f t="shared" si="24"/>
        <v/>
      </c>
      <c r="AW57" s="81" t="str" cm="1">
        <f t="array" aca="1" ref="AW57" ca="1">IF(AJ57="","",SUMPRODUCT((WEEKDAY(ROW(INDIRECT(AK57&amp;":"&amp;AL57)),2)&lt;7)*(COUNTIF(fer_1,ROW(INDIRECT(AK57&amp;":"&amp;AL57)))=0)))</f>
        <v/>
      </c>
      <c r="AX57" s="78" t="str">
        <f t="shared" si="25"/>
        <v/>
      </c>
      <c r="AY57" s="41" t="str" cm="1">
        <f t="array" aca="1" ref="AY57" ca="1">IF(AJ57="","",SUMPRODUCT((WEEKDAY(ROW(INDIRECT(AK57&amp;":"&amp;AL57)),2)&lt;7)*(COUNTIF(fer_1,ROW(INDIRECT(AK57&amp;":"&amp;AL57)))=0)))</f>
        <v/>
      </c>
      <c r="BO57" s="37">
        <f t="shared" si="1"/>
        <v>53</v>
      </c>
      <c r="BP57" s="38">
        <f t="shared" ref="BP57" si="41">IF(ISERROR(EDATE(BP56,1)),"",IF(OR(EDATE(BP56,1)&gt;EOMONTH(fim,0),BP56=""),"",EDATE(BP56,1)))</f>
        <v>45627</v>
      </c>
      <c r="BQ57" s="39" t="str">
        <f t="shared" si="39"/>
        <v>2024 - 2025</v>
      </c>
    </row>
    <row r="58" spans="35:69" hidden="1" x14ac:dyDescent="0.25">
      <c r="AI58" s="78">
        <f t="shared" si="11"/>
        <v>38</v>
      </c>
      <c r="AJ58" s="79" t="str">
        <f t="shared" si="12"/>
        <v/>
      </c>
      <c r="AK58" s="80" t="str">
        <f t="shared" si="13"/>
        <v/>
      </c>
      <c r="AL58" s="80" t="str">
        <f t="shared" si="14"/>
        <v/>
      </c>
      <c r="AM58" s="78" t="str">
        <f t="shared" ca="1" si="15"/>
        <v/>
      </c>
      <c r="AN58" s="78" t="str">
        <f t="shared" ca="1" si="16"/>
        <v/>
      </c>
      <c r="AO58" s="78" t="str">
        <f t="shared" ca="1" si="17"/>
        <v/>
      </c>
      <c r="AP58" s="78" t="str">
        <f t="shared" ca="1" si="18"/>
        <v/>
      </c>
      <c r="AQ58" s="78" t="str">
        <f t="shared" ca="1" si="19"/>
        <v/>
      </c>
      <c r="AR58" s="78" t="str">
        <f t="shared" ca="1" si="20"/>
        <v/>
      </c>
      <c r="AS58" s="78" t="str">
        <f t="shared" ca="1" si="21"/>
        <v/>
      </c>
      <c r="AT58" s="78" t="str">
        <f t="shared" si="22"/>
        <v/>
      </c>
      <c r="AU58" s="81" t="str">
        <f t="shared" si="23"/>
        <v/>
      </c>
      <c r="AV58" s="78" t="str">
        <f t="shared" si="24"/>
        <v/>
      </c>
      <c r="AW58" s="81" t="str" cm="1">
        <f t="array" aca="1" ref="AW58" ca="1">IF(AJ58="","",SUMPRODUCT((WEEKDAY(ROW(INDIRECT(AK58&amp;":"&amp;AL58)),2)&lt;7)*(COUNTIF(fer_1,ROW(INDIRECT(AK58&amp;":"&amp;AL58)))=0)))</f>
        <v/>
      </c>
      <c r="AX58" s="78" t="str">
        <f t="shared" si="25"/>
        <v/>
      </c>
      <c r="AY58" s="41" t="str" cm="1">
        <f t="array" aca="1" ref="AY58" ca="1">IF(AJ58="","",SUMPRODUCT((WEEKDAY(ROW(INDIRECT(AK58&amp;":"&amp;AL58)),2)&lt;7)*(COUNTIF(fer_1,ROW(INDIRECT(AK58&amp;":"&amp;AL58)))=0)))</f>
        <v/>
      </c>
      <c r="BO58" s="37">
        <f t="shared" si="1"/>
        <v>54</v>
      </c>
      <c r="BP58" s="38">
        <f t="shared" ref="BP58" si="42">IF(ISERROR(EDATE(BP57,1)),"",IF(OR(EDATE(BP57,1)&gt;EOMONTH(fim,0),BP57=""),"",EDATE(BP57,1)))</f>
        <v>45658</v>
      </c>
      <c r="BQ58" s="39" t="str">
        <f t="shared" si="39"/>
        <v>2024 - 2025</v>
      </c>
    </row>
    <row r="59" spans="35:69" hidden="1" x14ac:dyDescent="0.25">
      <c r="AI59" s="78">
        <f t="shared" si="11"/>
        <v>39</v>
      </c>
      <c r="AJ59" s="79" t="str">
        <f t="shared" si="12"/>
        <v/>
      </c>
      <c r="AK59" s="80" t="str">
        <f t="shared" si="13"/>
        <v/>
      </c>
      <c r="AL59" s="80" t="str">
        <f t="shared" si="14"/>
        <v/>
      </c>
      <c r="AM59" s="78" t="str">
        <f t="shared" ca="1" si="15"/>
        <v/>
      </c>
      <c r="AN59" s="78" t="str">
        <f t="shared" ca="1" si="16"/>
        <v/>
      </c>
      <c r="AO59" s="78" t="str">
        <f t="shared" ca="1" si="17"/>
        <v/>
      </c>
      <c r="AP59" s="78" t="str">
        <f t="shared" ca="1" si="18"/>
        <v/>
      </c>
      <c r="AQ59" s="78" t="str">
        <f t="shared" ca="1" si="19"/>
        <v/>
      </c>
      <c r="AR59" s="78" t="str">
        <f t="shared" ca="1" si="20"/>
        <v/>
      </c>
      <c r="AS59" s="78" t="str">
        <f t="shared" ca="1" si="21"/>
        <v/>
      </c>
      <c r="AT59" s="78" t="str">
        <f t="shared" si="22"/>
        <v/>
      </c>
      <c r="AU59" s="81" t="str">
        <f t="shared" si="23"/>
        <v/>
      </c>
      <c r="AV59" s="78" t="str">
        <f t="shared" si="24"/>
        <v/>
      </c>
      <c r="AW59" s="81" t="str" cm="1">
        <f t="array" aca="1" ref="AW59" ca="1">IF(AJ59="","",SUMPRODUCT((WEEKDAY(ROW(INDIRECT(AK59&amp;":"&amp;AL59)),2)&lt;7)*(COUNTIF(fer_1,ROW(INDIRECT(AK59&amp;":"&amp;AL59)))=0)))</f>
        <v/>
      </c>
      <c r="AX59" s="78" t="str">
        <f t="shared" si="25"/>
        <v/>
      </c>
      <c r="AY59" s="41" t="str" cm="1">
        <f t="array" aca="1" ref="AY59" ca="1">IF(AJ59="","",SUMPRODUCT((WEEKDAY(ROW(INDIRECT(AK59&amp;":"&amp;AL59)),2)&lt;7)*(COUNTIF(fer_1,ROW(INDIRECT(AK59&amp;":"&amp;AL59)))=0)))</f>
        <v/>
      </c>
      <c r="BO59" s="37">
        <f t="shared" si="1"/>
        <v>55</v>
      </c>
      <c r="BP59" s="38">
        <f t="shared" ref="BP59" si="43">IF(ISERROR(EDATE(BP58,1)),"",IF(OR(EDATE(BP58,1)&gt;EOMONTH(fim,0),BP58=""),"",EDATE(BP58,1)))</f>
        <v>45689</v>
      </c>
      <c r="BQ59" s="39" t="str">
        <f t="shared" si="39"/>
        <v>2024 - 2025</v>
      </c>
    </row>
    <row r="60" spans="35:69" hidden="1" x14ac:dyDescent="0.25">
      <c r="AI60" s="78">
        <f t="shared" si="11"/>
        <v>40</v>
      </c>
      <c r="AJ60" s="79" t="str">
        <f t="shared" si="12"/>
        <v/>
      </c>
      <c r="AK60" s="80" t="str">
        <f t="shared" si="13"/>
        <v/>
      </c>
      <c r="AL60" s="80" t="str">
        <f t="shared" si="14"/>
        <v/>
      </c>
      <c r="AM60" s="78" t="str">
        <f t="shared" ca="1" si="15"/>
        <v/>
      </c>
      <c r="AN60" s="78" t="str">
        <f t="shared" ca="1" si="16"/>
        <v/>
      </c>
      <c r="AO60" s="78" t="str">
        <f t="shared" ca="1" si="17"/>
        <v/>
      </c>
      <c r="AP60" s="78" t="str">
        <f t="shared" ca="1" si="18"/>
        <v/>
      </c>
      <c r="AQ60" s="78" t="str">
        <f t="shared" ca="1" si="19"/>
        <v/>
      </c>
      <c r="AR60" s="78" t="str">
        <f t="shared" ca="1" si="20"/>
        <v/>
      </c>
      <c r="AS60" s="78" t="str">
        <f t="shared" ca="1" si="21"/>
        <v/>
      </c>
      <c r="AT60" s="78" t="str">
        <f t="shared" si="22"/>
        <v/>
      </c>
      <c r="AU60" s="81" t="str">
        <f t="shared" si="23"/>
        <v/>
      </c>
      <c r="AV60" s="78" t="str">
        <f t="shared" si="24"/>
        <v/>
      </c>
      <c r="AW60" s="81" t="str" cm="1">
        <f t="array" aca="1" ref="AW60" ca="1">IF(AJ60="","",SUMPRODUCT((WEEKDAY(ROW(INDIRECT(AK60&amp;":"&amp;AL60)),2)&lt;7)*(COUNTIF(fer_1,ROW(INDIRECT(AK60&amp;":"&amp;AL60)))=0)))</f>
        <v/>
      </c>
      <c r="AX60" s="78" t="str">
        <f t="shared" si="25"/>
        <v/>
      </c>
      <c r="AY60" s="41" t="str" cm="1">
        <f t="array" aca="1" ref="AY60" ca="1">IF(AJ60="","",SUMPRODUCT((WEEKDAY(ROW(INDIRECT(AK60&amp;":"&amp;AL60)),2)&lt;7)*(COUNTIF(fer_1,ROW(INDIRECT(AK60&amp;":"&amp;AL60)))=0)))</f>
        <v/>
      </c>
      <c r="BO60" s="37">
        <f t="shared" si="1"/>
        <v>56</v>
      </c>
      <c r="BP60" s="38">
        <f t="shared" ref="BP60" si="44">IF(ISERROR(EDATE(BP59,1)),"",IF(OR(EDATE(BP59,1)&gt;EOMONTH(fim,0),BP59=""),"",EDATE(BP59,1)))</f>
        <v>45717</v>
      </c>
      <c r="BQ60" s="39" t="str">
        <f t="shared" si="39"/>
        <v>2024 - 2025</v>
      </c>
    </row>
    <row r="61" spans="35:69" hidden="1" x14ac:dyDescent="0.25">
      <c r="AI61" s="78">
        <f t="shared" si="11"/>
        <v>41</v>
      </c>
      <c r="AJ61" s="79" t="str">
        <f t="shared" si="12"/>
        <v/>
      </c>
      <c r="AK61" s="80" t="str">
        <f t="shared" si="13"/>
        <v/>
      </c>
      <c r="AL61" s="80" t="str">
        <f t="shared" si="14"/>
        <v/>
      </c>
      <c r="AM61" s="78" t="str">
        <f t="shared" ca="1" si="15"/>
        <v/>
      </c>
      <c r="AN61" s="78" t="str">
        <f t="shared" ca="1" si="16"/>
        <v/>
      </c>
      <c r="AO61" s="78" t="str">
        <f t="shared" ca="1" si="17"/>
        <v/>
      </c>
      <c r="AP61" s="78" t="str">
        <f t="shared" ca="1" si="18"/>
        <v/>
      </c>
      <c r="AQ61" s="78" t="str">
        <f t="shared" ca="1" si="19"/>
        <v/>
      </c>
      <c r="AR61" s="78" t="str">
        <f t="shared" ca="1" si="20"/>
        <v/>
      </c>
      <c r="AS61" s="78" t="str">
        <f t="shared" ca="1" si="21"/>
        <v/>
      </c>
      <c r="AT61" s="78" t="str">
        <f t="shared" si="22"/>
        <v/>
      </c>
      <c r="AU61" s="81" t="str">
        <f t="shared" si="23"/>
        <v/>
      </c>
      <c r="AV61" s="78" t="str">
        <f t="shared" si="24"/>
        <v/>
      </c>
      <c r="AW61" s="81" t="str" cm="1">
        <f t="array" aca="1" ref="AW61" ca="1">IF(AJ61="","",SUMPRODUCT((WEEKDAY(ROW(INDIRECT(AK61&amp;":"&amp;AL61)),2)&lt;7)*(COUNTIF(fer_1,ROW(INDIRECT(AK61&amp;":"&amp;AL61)))=0)))</f>
        <v/>
      </c>
      <c r="AX61" s="78" t="str">
        <f t="shared" si="25"/>
        <v/>
      </c>
      <c r="AY61" s="41" t="str" cm="1">
        <f t="array" aca="1" ref="AY61" ca="1">IF(AJ61="","",SUMPRODUCT((WEEKDAY(ROW(INDIRECT(AK61&amp;":"&amp;AL61)),2)&lt;7)*(COUNTIF(fer_1,ROW(INDIRECT(AK61&amp;":"&amp;AL61)))=0)))</f>
        <v/>
      </c>
      <c r="BO61" s="37">
        <f t="shared" si="1"/>
        <v>57</v>
      </c>
      <c r="BP61" s="38">
        <f t="shared" ref="BP61" si="45">IF(ISERROR(EDATE(BP60,1)),"",IF(OR(EDATE(BP60,1)&gt;EOMONTH(fim,0),BP60=""),"",EDATE(BP60,1)))</f>
        <v>45748</v>
      </c>
      <c r="BQ61" s="39" t="str">
        <f t="shared" si="39"/>
        <v>2024 - 2025</v>
      </c>
    </row>
    <row r="62" spans="35:69" hidden="1" x14ac:dyDescent="0.25">
      <c r="AI62" s="78">
        <f t="shared" si="11"/>
        <v>42</v>
      </c>
      <c r="AJ62" s="79" t="str">
        <f t="shared" si="12"/>
        <v/>
      </c>
      <c r="AK62" s="80" t="str">
        <f t="shared" si="13"/>
        <v/>
      </c>
      <c r="AL62" s="80" t="str">
        <f t="shared" si="14"/>
        <v/>
      </c>
      <c r="AM62" s="78" t="str">
        <f t="shared" ca="1" si="15"/>
        <v/>
      </c>
      <c r="AN62" s="78" t="str">
        <f t="shared" ca="1" si="16"/>
        <v/>
      </c>
      <c r="AO62" s="78" t="str">
        <f t="shared" ca="1" si="17"/>
        <v/>
      </c>
      <c r="AP62" s="78" t="str">
        <f t="shared" ca="1" si="18"/>
        <v/>
      </c>
      <c r="AQ62" s="78" t="str">
        <f t="shared" ca="1" si="19"/>
        <v/>
      </c>
      <c r="AR62" s="78" t="str">
        <f t="shared" ca="1" si="20"/>
        <v/>
      </c>
      <c r="AS62" s="78" t="str">
        <f t="shared" ca="1" si="21"/>
        <v/>
      </c>
      <c r="AT62" s="78" t="str">
        <f t="shared" si="22"/>
        <v/>
      </c>
      <c r="AU62" s="81" t="str">
        <f t="shared" si="23"/>
        <v/>
      </c>
      <c r="AV62" s="78" t="str">
        <f t="shared" si="24"/>
        <v/>
      </c>
      <c r="AW62" s="81" t="str" cm="1">
        <f t="array" aca="1" ref="AW62" ca="1">IF(AJ62="","",SUMPRODUCT((WEEKDAY(ROW(INDIRECT(AK62&amp;":"&amp;AL62)),2)&lt;7)*(COUNTIF(fer_1,ROW(INDIRECT(AK62&amp;":"&amp;AL62)))=0)))</f>
        <v/>
      </c>
      <c r="AX62" s="78" t="str">
        <f t="shared" si="25"/>
        <v/>
      </c>
      <c r="AY62" s="41" t="str" cm="1">
        <f t="array" aca="1" ref="AY62" ca="1">IF(AJ62="","",SUMPRODUCT((WEEKDAY(ROW(INDIRECT(AK62&amp;":"&amp;AL62)),2)&lt;7)*(COUNTIF(fer_1,ROW(INDIRECT(AK62&amp;":"&amp;AL62)))=0)))</f>
        <v/>
      </c>
      <c r="BO62" s="37">
        <f t="shared" si="1"/>
        <v>58</v>
      </c>
      <c r="BP62" s="38">
        <f t="shared" ref="BP62" si="46">IF(ISERROR(EDATE(BP61,1)),"",IF(OR(EDATE(BP61,1)&gt;EOMONTH(fim,0),BP61=""),"",EDATE(BP61,1)))</f>
        <v>45778</v>
      </c>
      <c r="BQ62" s="39" t="str">
        <f t="shared" si="39"/>
        <v>2024 - 2025</v>
      </c>
    </row>
    <row r="63" spans="35:69" hidden="1" x14ac:dyDescent="0.25">
      <c r="AI63" s="78">
        <f t="shared" si="11"/>
        <v>43</v>
      </c>
      <c r="AJ63" s="79" t="str">
        <f t="shared" si="12"/>
        <v/>
      </c>
      <c r="AK63" s="80" t="str">
        <f t="shared" si="13"/>
        <v/>
      </c>
      <c r="AL63" s="80" t="str">
        <f t="shared" si="14"/>
        <v/>
      </c>
      <c r="AM63" s="78" t="str">
        <f t="shared" ca="1" si="15"/>
        <v/>
      </c>
      <c r="AN63" s="78" t="str">
        <f t="shared" ca="1" si="16"/>
        <v/>
      </c>
      <c r="AO63" s="78" t="str">
        <f t="shared" ca="1" si="17"/>
        <v/>
      </c>
      <c r="AP63" s="78" t="str">
        <f t="shared" ca="1" si="18"/>
        <v/>
      </c>
      <c r="AQ63" s="78" t="str">
        <f t="shared" ca="1" si="19"/>
        <v/>
      </c>
      <c r="AR63" s="78" t="str">
        <f t="shared" ca="1" si="20"/>
        <v/>
      </c>
      <c r="AS63" s="78" t="str">
        <f t="shared" ca="1" si="21"/>
        <v/>
      </c>
      <c r="AT63" s="78" t="str">
        <f t="shared" si="22"/>
        <v/>
      </c>
      <c r="AU63" s="81" t="str">
        <f t="shared" si="23"/>
        <v/>
      </c>
      <c r="AV63" s="78" t="str">
        <f t="shared" si="24"/>
        <v/>
      </c>
      <c r="AW63" s="81" t="str" cm="1">
        <f t="array" aca="1" ref="AW63" ca="1">IF(AJ63="","",SUMPRODUCT((WEEKDAY(ROW(INDIRECT(AK63&amp;":"&amp;AL63)),2)&lt;7)*(COUNTIF(fer_1,ROW(INDIRECT(AK63&amp;":"&amp;AL63)))=0)))</f>
        <v/>
      </c>
      <c r="AX63" s="78" t="str">
        <f t="shared" si="25"/>
        <v/>
      </c>
      <c r="AY63" s="41" t="str" cm="1">
        <f t="array" aca="1" ref="AY63" ca="1">IF(AJ63="","",SUMPRODUCT((WEEKDAY(ROW(INDIRECT(AK63&amp;":"&amp;AL63)),2)&lt;7)*(COUNTIF(fer_1,ROW(INDIRECT(AK63&amp;":"&amp;AL63)))=0)))</f>
        <v/>
      </c>
      <c r="BO63" s="37">
        <f t="shared" si="1"/>
        <v>59</v>
      </c>
      <c r="BP63" s="38">
        <f t="shared" ref="BP63" si="47">IF(ISERROR(EDATE(BP62,1)),"",IF(OR(EDATE(BP62,1)&gt;EOMONTH(fim,0),BP62=""),"",EDATE(BP62,1)))</f>
        <v>45809</v>
      </c>
      <c r="BQ63" s="39" t="str">
        <f t="shared" si="39"/>
        <v>2024 - 2025</v>
      </c>
    </row>
    <row r="64" spans="35:69" hidden="1" x14ac:dyDescent="0.25">
      <c r="AI64" s="78">
        <f t="shared" si="11"/>
        <v>44</v>
      </c>
      <c r="AJ64" s="79" t="str">
        <f t="shared" si="12"/>
        <v/>
      </c>
      <c r="AK64" s="80" t="str">
        <f t="shared" si="13"/>
        <v/>
      </c>
      <c r="AL64" s="80" t="str">
        <f t="shared" si="14"/>
        <v/>
      </c>
      <c r="AM64" s="78" t="str">
        <f t="shared" ca="1" si="15"/>
        <v/>
      </c>
      <c r="AN64" s="78" t="str">
        <f t="shared" ca="1" si="16"/>
        <v/>
      </c>
      <c r="AO64" s="78" t="str">
        <f t="shared" ca="1" si="17"/>
        <v/>
      </c>
      <c r="AP64" s="78" t="str">
        <f t="shared" ca="1" si="18"/>
        <v/>
      </c>
      <c r="AQ64" s="78" t="str">
        <f t="shared" ca="1" si="19"/>
        <v/>
      </c>
      <c r="AR64" s="78" t="str">
        <f t="shared" ca="1" si="20"/>
        <v/>
      </c>
      <c r="AS64" s="78" t="str">
        <f t="shared" ca="1" si="21"/>
        <v/>
      </c>
      <c r="AT64" s="78" t="str">
        <f t="shared" si="22"/>
        <v/>
      </c>
      <c r="AU64" s="81" t="str">
        <f t="shared" si="23"/>
        <v/>
      </c>
      <c r="AV64" s="78" t="str">
        <f t="shared" si="24"/>
        <v/>
      </c>
      <c r="AW64" s="81" t="str" cm="1">
        <f t="array" aca="1" ref="AW64" ca="1">IF(AJ64="","",SUMPRODUCT((WEEKDAY(ROW(INDIRECT(AK64&amp;":"&amp;AL64)),2)&lt;7)*(COUNTIF(fer_1,ROW(INDIRECT(AK64&amp;":"&amp;AL64)))=0)))</f>
        <v/>
      </c>
      <c r="AX64" s="78" t="str">
        <f t="shared" si="25"/>
        <v/>
      </c>
      <c r="AY64" s="41" t="str" cm="1">
        <f t="array" aca="1" ref="AY64" ca="1">IF(AJ64="","",SUMPRODUCT((WEEKDAY(ROW(INDIRECT(AK64&amp;":"&amp;AL64)),2)&lt;7)*(COUNTIF(fer_1,ROW(INDIRECT(AK64&amp;":"&amp;AL64)))=0)))</f>
        <v/>
      </c>
      <c r="BO64" s="37">
        <f t="shared" si="1"/>
        <v>60</v>
      </c>
      <c r="BP64" s="38">
        <f t="shared" ref="BP64" si="48">IF(ISERROR(EDATE(BP63,1)),"",IF(OR(EDATE(BP63,1)&gt;EOMONTH(fim,0),BP63=""),"",EDATE(BP63,1)))</f>
        <v>45839</v>
      </c>
      <c r="BQ64" s="39" t="str">
        <f t="shared" si="39"/>
        <v>2024 - 2025</v>
      </c>
    </row>
    <row r="65" spans="35:69" hidden="1" x14ac:dyDescent="0.25">
      <c r="AI65" s="78">
        <f t="shared" si="11"/>
        <v>45</v>
      </c>
      <c r="AJ65" s="79" t="str">
        <f t="shared" si="12"/>
        <v/>
      </c>
      <c r="AK65" s="80" t="str">
        <f t="shared" si="13"/>
        <v/>
      </c>
      <c r="AL65" s="80" t="str">
        <f t="shared" si="14"/>
        <v/>
      </c>
      <c r="AM65" s="78" t="str">
        <f t="shared" ca="1" si="15"/>
        <v/>
      </c>
      <c r="AN65" s="78" t="str">
        <f t="shared" ca="1" si="16"/>
        <v/>
      </c>
      <c r="AO65" s="78" t="str">
        <f t="shared" ca="1" si="17"/>
        <v/>
      </c>
      <c r="AP65" s="78" t="str">
        <f t="shared" ca="1" si="18"/>
        <v/>
      </c>
      <c r="AQ65" s="78" t="str">
        <f t="shared" ca="1" si="19"/>
        <v/>
      </c>
      <c r="AR65" s="78" t="str">
        <f t="shared" ca="1" si="20"/>
        <v/>
      </c>
      <c r="AS65" s="78" t="str">
        <f t="shared" ca="1" si="21"/>
        <v/>
      </c>
      <c r="AT65" s="78" t="str">
        <f t="shared" si="22"/>
        <v/>
      </c>
      <c r="AU65" s="81" t="str">
        <f t="shared" si="23"/>
        <v/>
      </c>
      <c r="AV65" s="78" t="str">
        <f t="shared" si="24"/>
        <v/>
      </c>
      <c r="AW65" s="81" t="str" cm="1">
        <f t="array" aca="1" ref="AW65" ca="1">IF(AJ65="","",SUMPRODUCT((WEEKDAY(ROW(INDIRECT(AK65&amp;":"&amp;AL65)),2)&lt;7)*(COUNTIF(fer_1,ROW(INDIRECT(AK65&amp;":"&amp;AL65)))=0)))</f>
        <v/>
      </c>
      <c r="AX65" s="78" t="str">
        <f t="shared" si="25"/>
        <v/>
      </c>
      <c r="AY65" s="41" t="str" cm="1">
        <f t="array" aca="1" ref="AY65" ca="1">IF(AJ65="","",SUMPRODUCT((WEEKDAY(ROW(INDIRECT(AK65&amp;":"&amp;AL65)),2)&lt;7)*(COUNTIF(fer_1,ROW(INDIRECT(AK65&amp;":"&amp;AL65)))=0)))</f>
        <v/>
      </c>
      <c r="BO65" s="37">
        <f t="shared" si="1"/>
        <v>61</v>
      </c>
      <c r="BP65" s="47">
        <f t="shared" ref="BP65" si="49">IF(ISERROR(EDATE(BP64,1)),"",IF(OR(EDATE(BP64,1)&gt;EOMONTH(fim,0),BP64=""),"",EDATE(BP64,1)))</f>
        <v>45870</v>
      </c>
      <c r="BQ65" s="52" t="str">
        <f>IF(BP65="","",CONCATENATE(YEAR(BP65)," - ",YEAR(BP65)+1))</f>
        <v>2025 - 2026</v>
      </c>
    </row>
    <row r="66" spans="35:69" hidden="1" x14ac:dyDescent="0.25">
      <c r="AI66" s="78">
        <f t="shared" si="11"/>
        <v>46</v>
      </c>
      <c r="AJ66" s="79" t="str">
        <f t="shared" si="12"/>
        <v/>
      </c>
      <c r="AK66" s="80" t="str">
        <f t="shared" si="13"/>
        <v/>
      </c>
      <c r="AL66" s="80" t="str">
        <f t="shared" si="14"/>
        <v/>
      </c>
      <c r="AM66" s="78" t="str">
        <f t="shared" ca="1" si="15"/>
        <v/>
      </c>
      <c r="AN66" s="78" t="str">
        <f t="shared" ca="1" si="16"/>
        <v/>
      </c>
      <c r="AO66" s="78" t="str">
        <f t="shared" ca="1" si="17"/>
        <v/>
      </c>
      <c r="AP66" s="78" t="str">
        <f t="shared" ca="1" si="18"/>
        <v/>
      </c>
      <c r="AQ66" s="78" t="str">
        <f t="shared" ca="1" si="19"/>
        <v/>
      </c>
      <c r="AR66" s="78" t="str">
        <f t="shared" ca="1" si="20"/>
        <v/>
      </c>
      <c r="AS66" s="78" t="str">
        <f t="shared" ca="1" si="21"/>
        <v/>
      </c>
      <c r="AT66" s="78" t="str">
        <f t="shared" si="22"/>
        <v/>
      </c>
      <c r="AU66" s="81" t="str">
        <f t="shared" si="23"/>
        <v/>
      </c>
      <c r="AV66" s="78" t="str">
        <f t="shared" si="24"/>
        <v/>
      </c>
      <c r="AW66" s="81" t="str" cm="1">
        <f t="array" aca="1" ref="AW66" ca="1">IF(AJ66="","",SUMPRODUCT((WEEKDAY(ROW(INDIRECT(AK66&amp;":"&amp;AL66)),2)&lt;7)*(COUNTIF(fer_1,ROW(INDIRECT(AK66&amp;":"&amp;AL66)))=0)))</f>
        <v/>
      </c>
      <c r="AX66" s="78" t="str">
        <f t="shared" si="25"/>
        <v/>
      </c>
      <c r="AY66" s="41" t="str" cm="1">
        <f t="array" aca="1" ref="AY66" ca="1">IF(AJ66="","",SUMPRODUCT((WEEKDAY(ROW(INDIRECT(AK66&amp;":"&amp;AL66)),2)&lt;7)*(COUNTIF(fer_1,ROW(INDIRECT(AK66&amp;":"&amp;AL66)))=0)))</f>
        <v/>
      </c>
      <c r="BO66" s="37">
        <f t="shared" si="1"/>
        <v>62</v>
      </c>
      <c r="BP66" s="38">
        <f t="shared" ref="BP66" si="50">IF(ISERROR(EDATE(BP65,1)),"",IF(OR(EDATE(BP65,1)&gt;EOMONTH(fim,0),BP65=""),"",EDATE(BP65,1)))</f>
        <v>45901</v>
      </c>
      <c r="BQ66" s="39" t="str">
        <f>IF(BP66="","",BQ65)</f>
        <v>2025 - 2026</v>
      </c>
    </row>
    <row r="67" spans="35:69" hidden="1" x14ac:dyDescent="0.25">
      <c r="AI67" s="78">
        <f t="shared" si="11"/>
        <v>47</v>
      </c>
      <c r="AJ67" s="79" t="str">
        <f t="shared" si="12"/>
        <v/>
      </c>
      <c r="AK67" s="80" t="str">
        <f t="shared" si="13"/>
        <v/>
      </c>
      <c r="AL67" s="80" t="str">
        <f t="shared" si="14"/>
        <v/>
      </c>
      <c r="AM67" s="78" t="str">
        <f t="shared" ca="1" si="15"/>
        <v/>
      </c>
      <c r="AN67" s="78" t="str">
        <f t="shared" ca="1" si="16"/>
        <v/>
      </c>
      <c r="AO67" s="78" t="str">
        <f t="shared" ca="1" si="17"/>
        <v/>
      </c>
      <c r="AP67" s="78" t="str">
        <f t="shared" ca="1" si="18"/>
        <v/>
      </c>
      <c r="AQ67" s="78" t="str">
        <f t="shared" ca="1" si="19"/>
        <v/>
      </c>
      <c r="AR67" s="78" t="str">
        <f t="shared" ca="1" si="20"/>
        <v/>
      </c>
      <c r="AS67" s="78" t="str">
        <f t="shared" ca="1" si="21"/>
        <v/>
      </c>
      <c r="AT67" s="78" t="str">
        <f t="shared" si="22"/>
        <v/>
      </c>
      <c r="AU67" s="81" t="str">
        <f t="shared" si="23"/>
        <v/>
      </c>
      <c r="AV67" s="78" t="str">
        <f t="shared" si="24"/>
        <v/>
      </c>
      <c r="AW67" s="81" t="str" cm="1">
        <f t="array" aca="1" ref="AW67" ca="1">IF(AJ67="","",SUMPRODUCT((WEEKDAY(ROW(INDIRECT(AK67&amp;":"&amp;AL67)),2)&lt;7)*(COUNTIF(fer_1,ROW(INDIRECT(AK67&amp;":"&amp;AL67)))=0)))</f>
        <v/>
      </c>
      <c r="AX67" s="78" t="str">
        <f t="shared" si="25"/>
        <v/>
      </c>
      <c r="AY67" s="41" t="str" cm="1">
        <f t="array" aca="1" ref="AY67" ca="1">IF(AJ67="","",SUMPRODUCT((WEEKDAY(ROW(INDIRECT(AK67&amp;":"&amp;AL67)),2)&lt;7)*(COUNTIF(fer_1,ROW(INDIRECT(AK67&amp;":"&amp;AL67)))=0)))</f>
        <v/>
      </c>
      <c r="BO67" s="37">
        <f t="shared" si="1"/>
        <v>63</v>
      </c>
      <c r="BP67" s="38">
        <f t="shared" ref="BP67" si="51">IF(ISERROR(EDATE(BP66,1)),"",IF(OR(EDATE(BP66,1)&gt;EOMONTH(fim,0),BP66=""),"",EDATE(BP66,1)))</f>
        <v>45931</v>
      </c>
      <c r="BQ67" s="39" t="str">
        <f t="shared" ref="BQ67:BQ76" si="52">IF(BP67="","",BQ66)</f>
        <v>2025 - 2026</v>
      </c>
    </row>
    <row r="68" spans="35:69" hidden="1" x14ac:dyDescent="0.25">
      <c r="AI68" s="78">
        <f t="shared" si="11"/>
        <v>48</v>
      </c>
      <c r="AJ68" s="79" t="str">
        <f t="shared" si="12"/>
        <v/>
      </c>
      <c r="AK68" s="80" t="str">
        <f t="shared" si="13"/>
        <v/>
      </c>
      <c r="AL68" s="80" t="str">
        <f t="shared" si="14"/>
        <v/>
      </c>
      <c r="AM68" s="78" t="str">
        <f t="shared" ca="1" si="15"/>
        <v/>
      </c>
      <c r="AN68" s="78" t="str">
        <f t="shared" ca="1" si="16"/>
        <v/>
      </c>
      <c r="AO68" s="78" t="str">
        <f t="shared" ca="1" si="17"/>
        <v/>
      </c>
      <c r="AP68" s="78" t="str">
        <f t="shared" ca="1" si="18"/>
        <v/>
      </c>
      <c r="AQ68" s="78" t="str">
        <f t="shared" ca="1" si="19"/>
        <v/>
      </c>
      <c r="AR68" s="78" t="str">
        <f t="shared" ca="1" si="20"/>
        <v/>
      </c>
      <c r="AS68" s="78" t="str">
        <f t="shared" ca="1" si="21"/>
        <v/>
      </c>
      <c r="AT68" s="78" t="str">
        <f t="shared" si="22"/>
        <v/>
      </c>
      <c r="AU68" s="81" t="str">
        <f t="shared" si="23"/>
        <v/>
      </c>
      <c r="AV68" s="78" t="str">
        <f t="shared" si="24"/>
        <v/>
      </c>
      <c r="AW68" s="81" t="str" cm="1">
        <f t="array" aca="1" ref="AW68" ca="1">IF(AJ68="","",SUMPRODUCT((WEEKDAY(ROW(INDIRECT(AK68&amp;":"&amp;AL68)),2)&lt;7)*(COUNTIF(fer_1,ROW(INDIRECT(AK68&amp;":"&amp;AL68)))=0)))</f>
        <v/>
      </c>
      <c r="AX68" s="78" t="str">
        <f t="shared" si="25"/>
        <v/>
      </c>
      <c r="AY68" s="41" t="str" cm="1">
        <f t="array" aca="1" ref="AY68" ca="1">IF(AJ68="","",SUMPRODUCT((WEEKDAY(ROW(INDIRECT(AK68&amp;":"&amp;AL68)),2)&lt;7)*(COUNTIF(fer_1,ROW(INDIRECT(AK68&amp;":"&amp;AL68)))=0)))</f>
        <v/>
      </c>
      <c r="BO68" s="37">
        <f t="shared" si="1"/>
        <v>64</v>
      </c>
      <c r="BP68" s="38">
        <f t="shared" ref="BP68" si="53">IF(ISERROR(EDATE(BP67,1)),"",IF(OR(EDATE(BP67,1)&gt;EOMONTH(fim,0),BP67=""),"",EDATE(BP67,1)))</f>
        <v>45962</v>
      </c>
      <c r="BQ68" s="39" t="str">
        <f t="shared" si="52"/>
        <v>2025 - 2026</v>
      </c>
    </row>
    <row r="69" spans="35:69" hidden="1" x14ac:dyDescent="0.25">
      <c r="AI69" s="78">
        <f t="shared" si="11"/>
        <v>49</v>
      </c>
      <c r="AJ69" s="79" t="str">
        <f t="shared" si="12"/>
        <v/>
      </c>
      <c r="AK69" s="80" t="str">
        <f t="shared" si="13"/>
        <v/>
      </c>
      <c r="AL69" s="80" t="str">
        <f t="shared" si="14"/>
        <v/>
      </c>
      <c r="AM69" s="78" t="str">
        <f t="shared" ca="1" si="15"/>
        <v/>
      </c>
      <c r="AN69" s="78" t="str">
        <f t="shared" ca="1" si="16"/>
        <v/>
      </c>
      <c r="AO69" s="78" t="str">
        <f t="shared" ca="1" si="17"/>
        <v/>
      </c>
      <c r="AP69" s="78" t="str">
        <f t="shared" ca="1" si="18"/>
        <v/>
      </c>
      <c r="AQ69" s="78" t="str">
        <f t="shared" ca="1" si="19"/>
        <v/>
      </c>
      <c r="AR69" s="78" t="str">
        <f t="shared" ca="1" si="20"/>
        <v/>
      </c>
      <c r="AS69" s="78" t="str">
        <f t="shared" ca="1" si="21"/>
        <v/>
      </c>
      <c r="AT69" s="78" t="str">
        <f t="shared" si="22"/>
        <v/>
      </c>
      <c r="AU69" s="81" t="str">
        <f t="shared" si="23"/>
        <v/>
      </c>
      <c r="AV69" s="78" t="str">
        <f t="shared" si="24"/>
        <v/>
      </c>
      <c r="AW69" s="81" t="str" cm="1">
        <f t="array" aca="1" ref="AW69" ca="1">IF(AJ69="","",SUMPRODUCT((WEEKDAY(ROW(INDIRECT(AK69&amp;":"&amp;AL69)),2)&lt;7)*(COUNTIF(fer_1,ROW(INDIRECT(AK69&amp;":"&amp;AL69)))=0)))</f>
        <v/>
      </c>
      <c r="AX69" s="78" t="str">
        <f t="shared" si="25"/>
        <v/>
      </c>
      <c r="AY69" s="41" t="str" cm="1">
        <f t="array" aca="1" ref="AY69" ca="1">IF(AJ69="","",SUMPRODUCT((WEEKDAY(ROW(INDIRECT(AK69&amp;":"&amp;AL69)),2)&lt;7)*(COUNTIF(fer_1,ROW(INDIRECT(AK69&amp;":"&amp;AL69)))=0)))</f>
        <v/>
      </c>
      <c r="BO69" s="37">
        <f t="shared" si="1"/>
        <v>65</v>
      </c>
      <c r="BP69" s="38">
        <f t="shared" ref="BP69" si="54">IF(ISERROR(EDATE(BP68,1)),"",IF(OR(EDATE(BP68,1)&gt;EOMONTH(fim,0),BP68=""),"",EDATE(BP68,1)))</f>
        <v>45992</v>
      </c>
      <c r="BQ69" s="39" t="str">
        <f t="shared" si="52"/>
        <v>2025 - 2026</v>
      </c>
    </row>
    <row r="70" spans="35:69" hidden="1" x14ac:dyDescent="0.25">
      <c r="AI70" s="78">
        <f t="shared" si="11"/>
        <v>50</v>
      </c>
      <c r="AJ70" s="79" t="str">
        <f t="shared" si="12"/>
        <v/>
      </c>
      <c r="AK70" s="80" t="str">
        <f t="shared" si="13"/>
        <v/>
      </c>
      <c r="AL70" s="80" t="str">
        <f t="shared" si="14"/>
        <v/>
      </c>
      <c r="AM70" s="78" t="str">
        <f t="shared" ca="1" si="15"/>
        <v/>
      </c>
      <c r="AN70" s="78" t="str">
        <f t="shared" ca="1" si="16"/>
        <v/>
      </c>
      <c r="AO70" s="78" t="str">
        <f t="shared" ca="1" si="17"/>
        <v/>
      </c>
      <c r="AP70" s="78" t="str">
        <f t="shared" ca="1" si="18"/>
        <v/>
      </c>
      <c r="AQ70" s="78" t="str">
        <f t="shared" ca="1" si="19"/>
        <v/>
      </c>
      <c r="AR70" s="78" t="str">
        <f t="shared" ca="1" si="20"/>
        <v/>
      </c>
      <c r="AS70" s="78" t="str">
        <f t="shared" ca="1" si="21"/>
        <v/>
      </c>
      <c r="AT70" s="78" t="str">
        <f t="shared" si="22"/>
        <v/>
      </c>
      <c r="AU70" s="81" t="str">
        <f t="shared" si="23"/>
        <v/>
      </c>
      <c r="AV70" s="78" t="str">
        <f t="shared" si="24"/>
        <v/>
      </c>
      <c r="AW70" s="81" t="str" cm="1">
        <f t="array" aca="1" ref="AW70" ca="1">IF(AJ70="","",SUMPRODUCT((WEEKDAY(ROW(INDIRECT(AK70&amp;":"&amp;AL70)),2)&lt;7)*(COUNTIF(fer_1,ROW(INDIRECT(AK70&amp;":"&amp;AL70)))=0)))</f>
        <v/>
      </c>
      <c r="AX70" s="78" t="str">
        <f t="shared" si="25"/>
        <v/>
      </c>
      <c r="AY70" s="41" t="str" cm="1">
        <f t="array" aca="1" ref="AY70" ca="1">IF(AJ70="","",SUMPRODUCT((WEEKDAY(ROW(INDIRECT(AK70&amp;":"&amp;AL70)),2)&lt;7)*(COUNTIF(fer_1,ROW(INDIRECT(AK70&amp;":"&amp;AL70)))=0)))</f>
        <v/>
      </c>
      <c r="BO70" s="37">
        <f t="shared" si="1"/>
        <v>66</v>
      </c>
      <c r="BP70" s="38">
        <f t="shared" ref="BP70" si="55">IF(ISERROR(EDATE(BP69,1)),"",IF(OR(EDATE(BP69,1)&gt;EOMONTH(fim,0),BP69=""),"",EDATE(BP69,1)))</f>
        <v>46023</v>
      </c>
      <c r="BQ70" s="39" t="str">
        <f t="shared" si="52"/>
        <v>2025 - 2026</v>
      </c>
    </row>
    <row r="71" spans="35:69" hidden="1" x14ac:dyDescent="0.25">
      <c r="AI71" s="78">
        <f t="shared" si="11"/>
        <v>51</v>
      </c>
      <c r="AJ71" s="79" t="str">
        <f t="shared" si="12"/>
        <v/>
      </c>
      <c r="AK71" s="80" t="str">
        <f t="shared" si="13"/>
        <v/>
      </c>
      <c r="AL71" s="80" t="str">
        <f t="shared" si="14"/>
        <v/>
      </c>
      <c r="AM71" s="78" t="str">
        <f t="shared" ca="1" si="15"/>
        <v/>
      </c>
      <c r="AN71" s="78" t="str">
        <f t="shared" ca="1" si="16"/>
        <v/>
      </c>
      <c r="AO71" s="78" t="str">
        <f t="shared" ca="1" si="17"/>
        <v/>
      </c>
      <c r="AP71" s="78" t="str">
        <f t="shared" ca="1" si="18"/>
        <v/>
      </c>
      <c r="AQ71" s="78" t="str">
        <f t="shared" ca="1" si="19"/>
        <v/>
      </c>
      <c r="AR71" s="78" t="str">
        <f t="shared" ca="1" si="20"/>
        <v/>
      </c>
      <c r="AS71" s="78" t="str">
        <f t="shared" ca="1" si="21"/>
        <v/>
      </c>
      <c r="AT71" s="78" t="str">
        <f t="shared" si="22"/>
        <v/>
      </c>
      <c r="AU71" s="81" t="str">
        <f t="shared" si="23"/>
        <v/>
      </c>
      <c r="AV71" s="78" t="str">
        <f t="shared" si="24"/>
        <v/>
      </c>
      <c r="AW71" s="81" t="str" cm="1">
        <f t="array" aca="1" ref="AW71" ca="1">IF(AJ71="","",SUMPRODUCT((WEEKDAY(ROW(INDIRECT(AK71&amp;":"&amp;AL71)),2)&lt;7)*(COUNTIF(fer_1,ROW(INDIRECT(AK71&amp;":"&amp;AL71)))=0)))</f>
        <v/>
      </c>
      <c r="AX71" s="78" t="str">
        <f t="shared" si="25"/>
        <v/>
      </c>
      <c r="AY71" s="41" t="str" cm="1">
        <f t="array" aca="1" ref="AY71" ca="1">IF(AJ71="","",SUMPRODUCT((WEEKDAY(ROW(INDIRECT(AK71&amp;":"&amp;AL71)),2)&lt;7)*(COUNTIF(fer_1,ROW(INDIRECT(AK71&amp;":"&amp;AL71)))=0)))</f>
        <v/>
      </c>
      <c r="BO71" s="37">
        <f t="shared" si="1"/>
        <v>67</v>
      </c>
      <c r="BP71" s="38">
        <f t="shared" ref="BP71" si="56">IF(ISERROR(EDATE(BP70,1)),"",IF(OR(EDATE(BP70,1)&gt;EOMONTH(fim,0),BP70=""),"",EDATE(BP70,1)))</f>
        <v>46054</v>
      </c>
      <c r="BQ71" s="39" t="str">
        <f t="shared" si="52"/>
        <v>2025 - 2026</v>
      </c>
    </row>
    <row r="72" spans="35:69" hidden="1" x14ac:dyDescent="0.25">
      <c r="AI72" s="78">
        <f t="shared" si="11"/>
        <v>52</v>
      </c>
      <c r="AJ72" s="79" t="str">
        <f t="shared" si="12"/>
        <v/>
      </c>
      <c r="AK72" s="80" t="str">
        <f t="shared" si="13"/>
        <v/>
      </c>
      <c r="AL72" s="80" t="str">
        <f t="shared" si="14"/>
        <v/>
      </c>
      <c r="AM72" s="78" t="str">
        <f t="shared" ca="1" si="15"/>
        <v/>
      </c>
      <c r="AN72" s="78" t="str">
        <f t="shared" ca="1" si="16"/>
        <v/>
      </c>
      <c r="AO72" s="78" t="str">
        <f t="shared" ca="1" si="17"/>
        <v/>
      </c>
      <c r="AP72" s="78" t="str">
        <f t="shared" ca="1" si="18"/>
        <v/>
      </c>
      <c r="AQ72" s="78" t="str">
        <f t="shared" ca="1" si="19"/>
        <v/>
      </c>
      <c r="AR72" s="78" t="str">
        <f t="shared" ca="1" si="20"/>
        <v/>
      </c>
      <c r="AS72" s="78" t="str">
        <f t="shared" ca="1" si="21"/>
        <v/>
      </c>
      <c r="AT72" s="78" t="str">
        <f t="shared" si="22"/>
        <v/>
      </c>
      <c r="AU72" s="81" t="str">
        <f t="shared" si="23"/>
        <v/>
      </c>
      <c r="AV72" s="78" t="str">
        <f t="shared" si="24"/>
        <v/>
      </c>
      <c r="AW72" s="81" t="str" cm="1">
        <f t="array" aca="1" ref="AW72" ca="1">IF(AJ72="","",SUMPRODUCT((WEEKDAY(ROW(INDIRECT(AK72&amp;":"&amp;AL72)),2)&lt;7)*(COUNTIF(fer_1,ROW(INDIRECT(AK72&amp;":"&amp;AL72)))=0)))</f>
        <v/>
      </c>
      <c r="AX72" s="78" t="str">
        <f t="shared" si="25"/>
        <v/>
      </c>
      <c r="AY72" s="41" t="str" cm="1">
        <f t="array" aca="1" ref="AY72" ca="1">IF(AJ72="","",SUMPRODUCT((WEEKDAY(ROW(INDIRECT(AK72&amp;":"&amp;AL72)),2)&lt;7)*(COUNTIF(fer_1,ROW(INDIRECT(AK72&amp;":"&amp;AL72)))=0)))</f>
        <v/>
      </c>
      <c r="BO72" s="37">
        <f t="shared" ref="BO72:BO88" si="57">BO71+1</f>
        <v>68</v>
      </c>
      <c r="BP72" s="38">
        <f t="shared" ref="BP72" si="58">IF(ISERROR(EDATE(BP71,1)),"",IF(OR(EDATE(BP71,1)&gt;EOMONTH(fim,0),BP71=""),"",EDATE(BP71,1)))</f>
        <v>46082</v>
      </c>
      <c r="BQ72" s="39" t="str">
        <f t="shared" si="52"/>
        <v>2025 - 2026</v>
      </c>
    </row>
    <row r="73" spans="35:69" hidden="1" x14ac:dyDescent="0.25">
      <c r="AI73" s="78">
        <f t="shared" ref="AI73:AI77" si="59">AI72+1</f>
        <v>53</v>
      </c>
      <c r="AJ73" s="79" t="str">
        <f t="shared" si="12"/>
        <v/>
      </c>
      <c r="AK73" s="80" t="str">
        <f t="shared" si="13"/>
        <v/>
      </c>
      <c r="AL73" s="80" t="str">
        <f t="shared" si="14"/>
        <v/>
      </c>
      <c r="AM73" s="78" t="str">
        <f t="shared" ca="1" si="15"/>
        <v/>
      </c>
      <c r="AN73" s="78" t="str">
        <f t="shared" ca="1" si="16"/>
        <v/>
      </c>
      <c r="AO73" s="78" t="str">
        <f t="shared" ca="1" si="17"/>
        <v/>
      </c>
      <c r="AP73" s="78" t="str">
        <f t="shared" ca="1" si="18"/>
        <v/>
      </c>
      <c r="AQ73" s="78" t="str">
        <f t="shared" ca="1" si="19"/>
        <v/>
      </c>
      <c r="AR73" s="78" t="str">
        <f t="shared" ca="1" si="20"/>
        <v/>
      </c>
      <c r="AS73" s="78" t="str">
        <f t="shared" ca="1" si="21"/>
        <v/>
      </c>
      <c r="AT73" s="78" t="str">
        <f t="shared" si="22"/>
        <v/>
      </c>
      <c r="AU73" s="81" t="str">
        <f t="shared" si="23"/>
        <v/>
      </c>
      <c r="AV73" s="78" t="str">
        <f t="shared" si="24"/>
        <v/>
      </c>
      <c r="AW73" s="81" t="str" cm="1">
        <f t="array" aca="1" ref="AW73" ca="1">IF(AJ73="","",SUMPRODUCT((WEEKDAY(ROW(INDIRECT(AK73&amp;":"&amp;AL73)),2)&lt;7)*(COUNTIF(fer_1,ROW(INDIRECT(AK73&amp;":"&amp;AL73)))=0)))</f>
        <v/>
      </c>
      <c r="AX73" s="78" t="str">
        <f t="shared" si="25"/>
        <v/>
      </c>
      <c r="AY73" s="41" t="str" cm="1">
        <f t="array" aca="1" ref="AY73" ca="1">IF(AJ73="","",SUMPRODUCT((WEEKDAY(ROW(INDIRECT(AK73&amp;":"&amp;AL73)),2)&lt;7)*(COUNTIF(fer_1,ROW(INDIRECT(AK73&amp;":"&amp;AL73)))=0)))</f>
        <v/>
      </c>
      <c r="BO73" s="37">
        <f t="shared" si="57"/>
        <v>69</v>
      </c>
      <c r="BP73" s="38" t="str">
        <f t="shared" ref="BP73" si="60">IF(ISERROR(EDATE(BP72,1)),"",IF(OR(EDATE(BP72,1)&gt;EOMONTH(fim,0),BP72=""),"",EDATE(BP72,1)))</f>
        <v/>
      </c>
      <c r="BQ73" s="39" t="str">
        <f t="shared" si="52"/>
        <v/>
      </c>
    </row>
    <row r="74" spans="35:69" hidden="1" x14ac:dyDescent="0.25">
      <c r="AI74" s="78">
        <f t="shared" si="59"/>
        <v>54</v>
      </c>
      <c r="AJ74" s="79" t="str">
        <f t="shared" si="12"/>
        <v/>
      </c>
      <c r="AK74" s="80" t="str">
        <f t="shared" si="13"/>
        <v/>
      </c>
      <c r="AL74" s="80" t="str">
        <f t="shared" si="14"/>
        <v/>
      </c>
      <c r="AM74" s="78" t="str">
        <f t="shared" ca="1" si="15"/>
        <v/>
      </c>
      <c r="AN74" s="78" t="str">
        <f t="shared" ca="1" si="16"/>
        <v/>
      </c>
      <c r="AO74" s="78" t="str">
        <f t="shared" ca="1" si="17"/>
        <v/>
      </c>
      <c r="AP74" s="78" t="str">
        <f t="shared" ca="1" si="18"/>
        <v/>
      </c>
      <c r="AQ74" s="78" t="str">
        <f t="shared" ca="1" si="19"/>
        <v/>
      </c>
      <c r="AR74" s="78" t="str">
        <f t="shared" ca="1" si="20"/>
        <v/>
      </c>
      <c r="AS74" s="78" t="str">
        <f t="shared" ca="1" si="21"/>
        <v/>
      </c>
      <c r="AT74" s="78" t="str">
        <f t="shared" si="22"/>
        <v/>
      </c>
      <c r="AU74" s="81" t="str">
        <f t="shared" si="23"/>
        <v/>
      </c>
      <c r="AV74" s="78" t="str">
        <f t="shared" si="24"/>
        <v/>
      </c>
      <c r="AW74" s="81" t="str" cm="1">
        <f t="array" aca="1" ref="AW74" ca="1">IF(AJ74="","",SUMPRODUCT((WEEKDAY(ROW(INDIRECT(AK74&amp;":"&amp;AL74)),2)&lt;7)*(COUNTIF(fer_1,ROW(INDIRECT(AK74&amp;":"&amp;AL74)))=0)))</f>
        <v/>
      </c>
      <c r="AX74" s="78" t="str">
        <f t="shared" si="25"/>
        <v/>
      </c>
      <c r="AY74" s="41" t="str" cm="1">
        <f t="array" aca="1" ref="AY74" ca="1">IF(AJ74="","",SUMPRODUCT((WEEKDAY(ROW(INDIRECT(AK74&amp;":"&amp;AL74)),2)&lt;7)*(COUNTIF(fer_1,ROW(INDIRECT(AK74&amp;":"&amp;AL74)))=0)))</f>
        <v/>
      </c>
      <c r="BO74" s="37">
        <f t="shared" si="57"/>
        <v>70</v>
      </c>
      <c r="BP74" s="38" t="str">
        <f t="shared" ref="BP74" si="61">IF(ISERROR(EDATE(BP73,1)),"",IF(OR(EDATE(BP73,1)&gt;EOMONTH(fim,0),BP73=""),"",EDATE(BP73,1)))</f>
        <v/>
      </c>
      <c r="BQ74" s="39" t="str">
        <f t="shared" si="52"/>
        <v/>
      </c>
    </row>
    <row r="75" spans="35:69" hidden="1" x14ac:dyDescent="0.25">
      <c r="AI75" s="78">
        <f t="shared" si="59"/>
        <v>55</v>
      </c>
      <c r="AJ75" s="79" t="str">
        <f t="shared" si="12"/>
        <v/>
      </c>
      <c r="AK75" s="80" t="str">
        <f t="shared" si="13"/>
        <v/>
      </c>
      <c r="AL75" s="80" t="str">
        <f t="shared" si="14"/>
        <v/>
      </c>
      <c r="AM75" s="78" t="str">
        <f t="shared" ca="1" si="15"/>
        <v/>
      </c>
      <c r="AN75" s="78" t="str">
        <f t="shared" ca="1" si="16"/>
        <v/>
      </c>
      <c r="AO75" s="78" t="str">
        <f t="shared" ca="1" si="17"/>
        <v/>
      </c>
      <c r="AP75" s="78" t="str">
        <f t="shared" ca="1" si="18"/>
        <v/>
      </c>
      <c r="AQ75" s="78" t="str">
        <f t="shared" ca="1" si="19"/>
        <v/>
      </c>
      <c r="AR75" s="78" t="str">
        <f t="shared" ca="1" si="20"/>
        <v/>
      </c>
      <c r="AS75" s="78" t="str">
        <f t="shared" ca="1" si="21"/>
        <v/>
      </c>
      <c r="AT75" s="78" t="str">
        <f t="shared" si="22"/>
        <v/>
      </c>
      <c r="AU75" s="81" t="str">
        <f t="shared" si="23"/>
        <v/>
      </c>
      <c r="AV75" s="78" t="str">
        <f t="shared" si="24"/>
        <v/>
      </c>
      <c r="AW75" s="81" t="str" cm="1">
        <f t="array" aca="1" ref="AW75" ca="1">IF(AJ75="","",SUMPRODUCT((WEEKDAY(ROW(INDIRECT(AK75&amp;":"&amp;AL75)),2)&lt;7)*(COUNTIF(fer_1,ROW(INDIRECT(AK75&amp;":"&amp;AL75)))=0)))</f>
        <v/>
      </c>
      <c r="AX75" s="78" t="str">
        <f t="shared" si="25"/>
        <v/>
      </c>
      <c r="AY75" s="41" t="str" cm="1">
        <f t="array" aca="1" ref="AY75" ca="1">IF(AJ75="","",SUMPRODUCT((WEEKDAY(ROW(INDIRECT(AK75&amp;":"&amp;AL75)),2)&lt;7)*(COUNTIF(fer_1,ROW(INDIRECT(AK75&amp;":"&amp;AL75)))=0)))</f>
        <v/>
      </c>
      <c r="BO75" s="37">
        <f t="shared" si="57"/>
        <v>71</v>
      </c>
      <c r="BP75" s="38" t="str">
        <f t="shared" ref="BP75" si="62">IF(ISERROR(EDATE(BP74,1)),"",IF(OR(EDATE(BP74,1)&gt;EOMONTH(fim,0),BP74=""),"",EDATE(BP74,1)))</f>
        <v/>
      </c>
      <c r="BQ75" s="39" t="str">
        <f t="shared" si="52"/>
        <v/>
      </c>
    </row>
    <row r="76" spans="35:69" hidden="1" x14ac:dyDescent="0.25">
      <c r="AI76" s="78">
        <f t="shared" si="59"/>
        <v>56</v>
      </c>
      <c r="AJ76" s="79" t="str">
        <f t="shared" si="12"/>
        <v/>
      </c>
      <c r="AK76" s="80" t="str">
        <f t="shared" si="13"/>
        <v/>
      </c>
      <c r="AL76" s="80" t="str">
        <f t="shared" si="14"/>
        <v/>
      </c>
      <c r="AM76" s="78" t="str">
        <f t="shared" ca="1" si="15"/>
        <v/>
      </c>
      <c r="AN76" s="78" t="str">
        <f t="shared" ca="1" si="16"/>
        <v/>
      </c>
      <c r="AO76" s="78" t="str">
        <f t="shared" ca="1" si="17"/>
        <v/>
      </c>
      <c r="AP76" s="78" t="str">
        <f t="shared" ca="1" si="18"/>
        <v/>
      </c>
      <c r="AQ76" s="78" t="str">
        <f t="shared" ca="1" si="19"/>
        <v/>
      </c>
      <c r="AR76" s="78" t="str">
        <f t="shared" ca="1" si="20"/>
        <v/>
      </c>
      <c r="AS76" s="78" t="str">
        <f t="shared" ca="1" si="21"/>
        <v/>
      </c>
      <c r="AT76" s="78" t="str">
        <f t="shared" si="22"/>
        <v/>
      </c>
      <c r="AU76" s="81" t="str">
        <f t="shared" si="23"/>
        <v/>
      </c>
      <c r="AV76" s="78" t="str">
        <f t="shared" si="24"/>
        <v/>
      </c>
      <c r="AW76" s="81" t="str" cm="1">
        <f t="array" aca="1" ref="AW76" ca="1">IF(AJ76="","",SUMPRODUCT((WEEKDAY(ROW(INDIRECT(AK76&amp;":"&amp;AL76)),2)&lt;7)*(COUNTIF(fer_1,ROW(INDIRECT(AK76&amp;":"&amp;AL76)))=0)))</f>
        <v/>
      </c>
      <c r="AX76" s="78" t="str">
        <f t="shared" si="25"/>
        <v/>
      </c>
      <c r="AY76" s="41" t="str" cm="1">
        <f t="array" aca="1" ref="AY76" ca="1">IF(AJ76="","",SUMPRODUCT((WEEKDAY(ROW(INDIRECT(AK76&amp;":"&amp;AL76)),2)&lt;7)*(COUNTIF(fer_1,ROW(INDIRECT(AK76&amp;":"&amp;AL76)))=0)))</f>
        <v/>
      </c>
      <c r="BO76" s="37">
        <f t="shared" si="57"/>
        <v>72</v>
      </c>
      <c r="BP76" s="53" t="str">
        <f t="shared" ref="BP76" si="63">IF(ISERROR(EDATE(BP75,1)),"",IF(OR(EDATE(BP75,1)&gt;EOMONTH(fim,0),BP75=""),"",EDATE(BP75,1)))</f>
        <v/>
      </c>
      <c r="BQ76" s="54" t="str">
        <f t="shared" si="52"/>
        <v/>
      </c>
    </row>
    <row r="77" spans="35:69" hidden="1" x14ac:dyDescent="0.25">
      <c r="AI77" s="78">
        <f t="shared" si="59"/>
        <v>57</v>
      </c>
      <c r="AJ77" s="79" t="str">
        <f t="shared" si="12"/>
        <v/>
      </c>
      <c r="AK77" s="80" t="str">
        <f t="shared" si="13"/>
        <v/>
      </c>
      <c r="AL77" s="80" t="str">
        <f t="shared" si="14"/>
        <v/>
      </c>
      <c r="AM77" s="78" t="str">
        <f t="shared" ca="1" si="15"/>
        <v/>
      </c>
      <c r="AN77" s="78" t="str">
        <f t="shared" ca="1" si="16"/>
        <v/>
      </c>
      <c r="AO77" s="78" t="str">
        <f t="shared" ca="1" si="17"/>
        <v/>
      </c>
      <c r="AP77" s="78" t="str">
        <f t="shared" ca="1" si="18"/>
        <v/>
      </c>
      <c r="AQ77" s="78" t="str">
        <f t="shared" ca="1" si="19"/>
        <v/>
      </c>
      <c r="AR77" s="78" t="str">
        <f t="shared" ca="1" si="20"/>
        <v/>
      </c>
      <c r="AS77" s="78" t="str">
        <f t="shared" ca="1" si="21"/>
        <v/>
      </c>
      <c r="AT77" s="78" t="str">
        <f t="shared" si="22"/>
        <v/>
      </c>
      <c r="AU77" s="81" t="str">
        <f t="shared" si="23"/>
        <v/>
      </c>
      <c r="AV77" s="78" t="str">
        <f t="shared" si="24"/>
        <v/>
      </c>
      <c r="AW77" s="81" t="str" cm="1">
        <f t="array" aca="1" ref="AW77" ca="1">IF(AJ77="","",SUMPRODUCT((WEEKDAY(ROW(INDIRECT(AK77&amp;":"&amp;AL77)),2)&lt;7)*(COUNTIF(fer_1,ROW(INDIRECT(AK77&amp;":"&amp;AL77)))=0)))</f>
        <v/>
      </c>
      <c r="AX77" s="78" t="str">
        <f t="shared" si="25"/>
        <v/>
      </c>
      <c r="AY77" s="41" t="str" cm="1">
        <f t="array" aca="1" ref="AY77" ca="1">IF(AJ77="","",SUMPRODUCT((WEEKDAY(ROW(INDIRECT(AK77&amp;":"&amp;AL77)),2)&lt;7)*(COUNTIF(fer_1,ROW(INDIRECT(AK77&amp;":"&amp;AL77)))=0)))</f>
        <v/>
      </c>
      <c r="BO77" s="37">
        <f t="shared" si="57"/>
        <v>73</v>
      </c>
      <c r="BP77" s="47" t="str">
        <f t="shared" ref="BP77:BP88" si="64">IF(ISERROR(EDATE(BP76,1)),"",IF(OR(EDATE(BP76,1)&gt;EOMONTH(fim,0),BP76=""),"",EDATE(BP76,1)))</f>
        <v/>
      </c>
      <c r="BQ77" s="48" t="str">
        <f>IF(BP77="","",CONCATENATE(YEAR(BP77)," - ",YEAR(BP77)+1))</f>
        <v/>
      </c>
    </row>
    <row r="78" spans="35:69" hidden="1" x14ac:dyDescent="0.25">
      <c r="AK78" s="35"/>
      <c r="AL78" s="35"/>
      <c r="BO78" s="37">
        <f t="shared" si="57"/>
        <v>74</v>
      </c>
      <c r="BP78" s="38" t="str">
        <f t="shared" si="64"/>
        <v/>
      </c>
      <c r="BQ78" s="39" t="str">
        <f t="shared" ref="BQ78:BQ87" si="65">IF(BP78="","",BQ77)</f>
        <v/>
      </c>
    </row>
    <row r="79" spans="35:69" hidden="1" x14ac:dyDescent="0.25">
      <c r="AK79" s="35"/>
      <c r="AL79" s="35"/>
      <c r="BO79" s="37">
        <f t="shared" si="57"/>
        <v>75</v>
      </c>
      <c r="BP79" s="38" t="str">
        <f t="shared" si="64"/>
        <v/>
      </c>
      <c r="BQ79" s="39" t="str">
        <f t="shared" si="65"/>
        <v/>
      </c>
    </row>
    <row r="80" spans="35:69" hidden="1" x14ac:dyDescent="0.25">
      <c r="AK80" s="35"/>
      <c r="AL80" s="35"/>
      <c r="BO80" s="37">
        <f t="shared" si="57"/>
        <v>76</v>
      </c>
      <c r="BP80" s="38" t="str">
        <f t="shared" si="64"/>
        <v/>
      </c>
      <c r="BQ80" s="39" t="str">
        <f t="shared" si="65"/>
        <v/>
      </c>
    </row>
    <row r="81" spans="37:69" hidden="1" x14ac:dyDescent="0.25">
      <c r="AK81" s="35"/>
      <c r="AL81" s="35"/>
      <c r="BO81" s="37">
        <f t="shared" si="57"/>
        <v>77</v>
      </c>
      <c r="BP81" s="38" t="str">
        <f t="shared" si="64"/>
        <v/>
      </c>
      <c r="BQ81" s="39" t="str">
        <f t="shared" si="65"/>
        <v/>
      </c>
    </row>
    <row r="82" spans="37:69" hidden="1" x14ac:dyDescent="0.25">
      <c r="AK82" s="35"/>
      <c r="AL82" s="35"/>
      <c r="BO82" s="37">
        <f t="shared" si="57"/>
        <v>78</v>
      </c>
      <c r="BP82" s="38" t="str">
        <f t="shared" si="64"/>
        <v/>
      </c>
      <c r="BQ82" s="39" t="str">
        <f t="shared" si="65"/>
        <v/>
      </c>
    </row>
    <row r="83" spans="37:69" hidden="1" x14ac:dyDescent="0.25">
      <c r="AK83" s="35"/>
      <c r="AL83" s="35"/>
      <c r="BO83" s="37">
        <f t="shared" si="57"/>
        <v>79</v>
      </c>
      <c r="BP83" s="38" t="str">
        <f t="shared" si="64"/>
        <v/>
      </c>
      <c r="BQ83" s="39" t="str">
        <f t="shared" si="65"/>
        <v/>
      </c>
    </row>
    <row r="84" spans="37:69" hidden="1" x14ac:dyDescent="0.25">
      <c r="AK84" s="35"/>
      <c r="AL84" s="35"/>
      <c r="BO84" s="37">
        <f t="shared" si="57"/>
        <v>80</v>
      </c>
      <c r="BP84" s="38" t="str">
        <f t="shared" si="64"/>
        <v/>
      </c>
      <c r="BQ84" s="39" t="str">
        <f t="shared" si="65"/>
        <v/>
      </c>
    </row>
    <row r="85" spans="37:69" hidden="1" x14ac:dyDescent="0.25">
      <c r="AK85" s="35"/>
      <c r="AL85" s="35"/>
      <c r="BO85" s="37">
        <f t="shared" si="57"/>
        <v>81</v>
      </c>
      <c r="BP85" s="38" t="str">
        <f t="shared" si="64"/>
        <v/>
      </c>
      <c r="BQ85" s="39" t="str">
        <f t="shared" si="65"/>
        <v/>
      </c>
    </row>
    <row r="86" spans="37:69" hidden="1" x14ac:dyDescent="0.25">
      <c r="AK86" s="35"/>
      <c r="AL86" s="35"/>
      <c r="BO86" s="37">
        <f t="shared" si="57"/>
        <v>82</v>
      </c>
      <c r="BP86" s="38" t="str">
        <f t="shared" si="64"/>
        <v/>
      </c>
      <c r="BQ86" s="39" t="str">
        <f t="shared" si="65"/>
        <v/>
      </c>
    </row>
    <row r="87" spans="37:69" hidden="1" x14ac:dyDescent="0.25">
      <c r="AK87" s="35"/>
      <c r="AL87" s="35"/>
      <c r="BO87" s="37">
        <f t="shared" si="57"/>
        <v>83</v>
      </c>
      <c r="BP87" s="38" t="str">
        <f t="shared" si="64"/>
        <v/>
      </c>
      <c r="BQ87" s="39" t="str">
        <f t="shared" si="65"/>
        <v/>
      </c>
    </row>
    <row r="88" spans="37:69" ht="15.75" hidden="1" thickBot="1" x14ac:dyDescent="0.3">
      <c r="AK88" s="35"/>
      <c r="AL88" s="35"/>
      <c r="BO88" s="37">
        <f t="shared" si="57"/>
        <v>84</v>
      </c>
      <c r="BP88" s="38" t="str">
        <f t="shared" si="64"/>
        <v/>
      </c>
      <c r="BQ88" s="39" t="str">
        <f t="shared" ref="BQ88" si="66">IF(BP88="","",BQ87)</f>
        <v/>
      </c>
    </row>
    <row r="89" spans="37:69" hidden="1" x14ac:dyDescent="0.25">
      <c r="AK89" s="35"/>
      <c r="AL89" s="35"/>
      <c r="BO89" s="55"/>
      <c r="BP89" s="56"/>
      <c r="BQ89" s="55"/>
    </row>
    <row r="90" spans="37:69" hidden="1" x14ac:dyDescent="0.25">
      <c r="AK90" s="35"/>
      <c r="AL90" s="35"/>
      <c r="BP90" s="57"/>
    </row>
    <row r="91" spans="37:69" hidden="1" x14ac:dyDescent="0.25">
      <c r="AK91" s="35"/>
      <c r="AL91" s="35"/>
      <c r="BP91" s="57"/>
    </row>
    <row r="92" spans="37:69" hidden="1" x14ac:dyDescent="0.25">
      <c r="AK92" s="35"/>
      <c r="AL92" s="35"/>
      <c r="BP92" s="57"/>
    </row>
    <row r="93" spans="37:69" hidden="1" x14ac:dyDescent="0.25">
      <c r="AK93" s="35"/>
      <c r="AL93" s="35"/>
      <c r="BP93" s="57"/>
    </row>
    <row r="94" spans="37:69" hidden="1" x14ac:dyDescent="0.25">
      <c r="AK94" s="35"/>
      <c r="AL94" s="35"/>
      <c r="BP94" s="57"/>
    </row>
    <row r="95" spans="37:69" hidden="1" x14ac:dyDescent="0.25">
      <c r="AK95" s="35"/>
      <c r="AL95" s="35"/>
    </row>
    <row r="96" spans="37:69" hidden="1" x14ac:dyDescent="0.25">
      <c r="AK96" s="35"/>
      <c r="AL96" s="35"/>
    </row>
    <row r="97" spans="37:38" hidden="1" x14ac:dyDescent="0.25">
      <c r="AK97" s="35"/>
      <c r="AL97" s="35"/>
    </row>
    <row r="98" spans="37:38" hidden="1" x14ac:dyDescent="0.25">
      <c r="AK98" s="35"/>
      <c r="AL98" s="35"/>
    </row>
    <row r="99" spans="37:38" hidden="1" x14ac:dyDescent="0.25">
      <c r="AK99" s="35"/>
      <c r="AL99" s="35"/>
    </row>
    <row r="100" spans="37:38" hidden="1" x14ac:dyDescent="0.25">
      <c r="AK100" s="35"/>
      <c r="AL100" s="35"/>
    </row>
    <row r="101" spans="37:38" hidden="1" x14ac:dyDescent="0.25">
      <c r="AK101" s="35"/>
      <c r="AL101" s="35"/>
    </row>
    <row r="102" spans="37:38" hidden="1" x14ac:dyDescent="0.25">
      <c r="AK102" s="35"/>
      <c r="AL102" s="35"/>
    </row>
    <row r="103" spans="37:38" hidden="1" x14ac:dyDescent="0.25">
      <c r="AK103" s="35"/>
      <c r="AL103" s="35"/>
    </row>
    <row r="104" spans="37:38" hidden="1" x14ac:dyDescent="0.25">
      <c r="AK104" s="35"/>
      <c r="AL104" s="35"/>
    </row>
    <row r="105" spans="37:38" hidden="1" x14ac:dyDescent="0.25">
      <c r="AK105" s="35"/>
      <c r="AL105" s="35"/>
    </row>
    <row r="106" spans="37:38" hidden="1" x14ac:dyDescent="0.25">
      <c r="AK106" s="35"/>
      <c r="AL106" s="35"/>
    </row>
    <row r="107" spans="37:38" hidden="1" x14ac:dyDescent="0.25">
      <c r="AK107" s="35"/>
      <c r="AL107" s="35"/>
    </row>
    <row r="108" spans="37:38" hidden="1" x14ac:dyDescent="0.25">
      <c r="AK108" s="35"/>
      <c r="AL108" s="35"/>
    </row>
    <row r="109" spans="37:38" hidden="1" x14ac:dyDescent="0.25">
      <c r="AK109" s="35"/>
      <c r="AL109" s="35"/>
    </row>
    <row r="110" spans="37:38" hidden="1" x14ac:dyDescent="0.25">
      <c r="AK110" s="35"/>
      <c r="AL110" s="35"/>
    </row>
    <row r="111" spans="37:38" hidden="1" x14ac:dyDescent="0.25">
      <c r="AK111" s="35"/>
      <c r="AL111" s="35"/>
    </row>
    <row r="112" spans="37:38" hidden="1" x14ac:dyDescent="0.25">
      <c r="AK112" s="35"/>
      <c r="AL112" s="35"/>
    </row>
    <row r="113" spans="37:38" hidden="1" x14ac:dyDescent="0.25">
      <c r="AK113" s="35"/>
      <c r="AL113" s="35"/>
    </row>
    <row r="114" spans="37:38" hidden="1" x14ac:dyDescent="0.25">
      <c r="AK114" s="35"/>
      <c r="AL114" s="35"/>
    </row>
    <row r="115" spans="37:38" hidden="1" x14ac:dyDescent="0.25">
      <c r="AK115" s="35"/>
      <c r="AL115" s="35"/>
    </row>
    <row r="116" spans="37:38" hidden="1" x14ac:dyDescent="0.25">
      <c r="AK116" s="35"/>
      <c r="AL116" s="35"/>
    </row>
    <row r="117" spans="37:38" hidden="1" x14ac:dyDescent="0.25">
      <c r="AK117" s="35"/>
      <c r="AL117" s="35"/>
    </row>
    <row r="118" spans="37:38" hidden="1" x14ac:dyDescent="0.25">
      <c r="AK118" s="35"/>
      <c r="AL118" s="35"/>
    </row>
    <row r="119" spans="37:38" hidden="1" x14ac:dyDescent="0.25">
      <c r="AK119" s="35"/>
      <c r="AL119" s="35"/>
    </row>
    <row r="120" spans="37:38" hidden="1" x14ac:dyDescent="0.25">
      <c r="AK120" s="35"/>
      <c r="AL120" s="35"/>
    </row>
    <row r="121" spans="37:38" hidden="1" x14ac:dyDescent="0.25">
      <c r="AK121" s="35"/>
      <c r="AL121" s="35"/>
    </row>
    <row r="122" spans="37:38" hidden="1" x14ac:dyDescent="0.25">
      <c r="AK122" s="35"/>
      <c r="AL122" s="35"/>
    </row>
    <row r="123" spans="37:38" hidden="1" x14ac:dyDescent="0.25">
      <c r="AK123" s="35"/>
      <c r="AL123" s="35"/>
    </row>
    <row r="124" spans="37:38" hidden="1" x14ac:dyDescent="0.25">
      <c r="AK124" s="35"/>
      <c r="AL124" s="35"/>
    </row>
    <row r="125" spans="37:38" hidden="1" x14ac:dyDescent="0.25">
      <c r="AK125" s="35"/>
      <c r="AL125" s="35"/>
    </row>
    <row r="126" spans="37:38" hidden="1" x14ac:dyDescent="0.25">
      <c r="AK126" s="35"/>
      <c r="AL126" s="35"/>
    </row>
    <row r="127" spans="37:38" hidden="1" x14ac:dyDescent="0.25">
      <c r="AK127" s="35"/>
      <c r="AL127" s="35"/>
    </row>
    <row r="128" spans="37:38" hidden="1" x14ac:dyDescent="0.25">
      <c r="AK128" s="35"/>
      <c r="AL128" s="35"/>
    </row>
    <row r="129" spans="3:38" hidden="1" x14ac:dyDescent="0.25">
      <c r="AK129" s="35"/>
      <c r="AL129" s="35"/>
    </row>
    <row r="130" spans="3:38" hidden="1" x14ac:dyDescent="0.25">
      <c r="AK130" s="35"/>
      <c r="AL130" s="35"/>
    </row>
    <row r="131" spans="3:38" hidden="1" x14ac:dyDescent="0.25">
      <c r="AK131" s="35"/>
      <c r="AL131" s="35"/>
    </row>
    <row r="132" spans="3:38" hidden="1" x14ac:dyDescent="0.25">
      <c r="AK132" s="35"/>
      <c r="AL132" s="35"/>
    </row>
    <row r="133" spans="3:38" hidden="1" x14ac:dyDescent="0.25">
      <c r="AK133" s="35"/>
      <c r="AL133" s="35"/>
    </row>
    <row r="134" spans="3:38" hidden="1" x14ac:dyDescent="0.25">
      <c r="AK134" s="35"/>
      <c r="AL134" s="35"/>
    </row>
    <row r="135" spans="3:38" hidden="1" x14ac:dyDescent="0.25">
      <c r="C135" s="15" t="s">
        <v>40</v>
      </c>
      <c r="AK135" s="35"/>
      <c r="AL135" s="35"/>
    </row>
    <row r="136" spans="3:38" hidden="1" x14ac:dyDescent="0.25">
      <c r="C136" s="15" t="s">
        <v>30</v>
      </c>
      <c r="AK136" s="35"/>
      <c r="AL136" s="35"/>
    </row>
    <row r="137" spans="3:38" hidden="1" x14ac:dyDescent="0.25">
      <c r="C137" s="15" t="s">
        <v>41</v>
      </c>
    </row>
  </sheetData>
  <sheetProtection formatCells="0" formatColumns="0" formatRows="0" sort="0" autoFilter="0"/>
  <mergeCells count="15">
    <mergeCell ref="AZ17:AZ19"/>
    <mergeCell ref="K5:L5"/>
    <mergeCell ref="K6:L7"/>
    <mergeCell ref="K8:L8"/>
    <mergeCell ref="K9:L10"/>
    <mergeCell ref="AZ5:AZ12"/>
    <mergeCell ref="BO4:BQ4"/>
    <mergeCell ref="A8:B8"/>
    <mergeCell ref="A14:B14"/>
    <mergeCell ref="AZ14:AZ16"/>
    <mergeCell ref="A2:C2"/>
    <mergeCell ref="AI3:AX3"/>
    <mergeCell ref="AZ3:BH3"/>
    <mergeCell ref="AI4:AX4"/>
    <mergeCell ref="AZ4:BB4"/>
  </mergeCells>
  <dataValidations count="4">
    <dataValidation type="list" allowBlank="1" showInputMessage="1" showErrorMessage="1" sqref="C17" xr:uid="{EDCF262E-4054-418E-AA1D-A6480C4A679F}">
      <formula1>$BM$4:$BM$6</formula1>
    </dataValidation>
    <dataValidation type="list" allowBlank="1" showInputMessage="1" showErrorMessage="1" sqref="C16" xr:uid="{4CBB139E-A77D-4728-9E6F-DCDBA50CE4CF}">
      <formula1>$BL$4:$BL$6</formula1>
    </dataValidation>
    <dataValidation type="list" allowBlank="1" showInputMessage="1" showErrorMessage="1" sqref="C18" xr:uid="{635D85B3-175F-46E6-9CD4-B42D5BC1B3B1}">
      <formula1>$BM$7:$BM$9</formula1>
    </dataValidation>
    <dataValidation type="textLength" operator="equal" allowBlank="1" showInputMessage="1" showErrorMessage="1" sqref="C3 C12" xr:uid="{6FED4772-B2F8-432B-8A50-E512E1F30BB6}">
      <formula1>9999</formula1>
    </dataValidation>
  </dataValidation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Drop Down 1">
              <controlPr defaultSize="0" autoLine="0" autoPict="0">
                <anchor moveWithCells="1">
                  <from>
                    <xdr:col>2</xdr:col>
                    <xdr:colOff>28575</xdr:colOff>
                    <xdr:row>18</xdr:row>
                    <xdr:rowOff>0</xdr:rowOff>
                  </from>
                  <to>
                    <xdr:col>2</xdr:col>
                    <xdr:colOff>1390650</xdr:colOff>
                    <xdr:row>18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B14CE-C0CE-4705-85C5-4D2DD136D7C8}">
  <sheetPr codeName="Planilha3">
    <tabColor rgb="FF1F4E78"/>
    <pageSetUpPr fitToPage="1"/>
  </sheetPr>
  <dimension ref="A1:AA638"/>
  <sheetViews>
    <sheetView showGridLines="0" zoomScale="81" zoomScaleNormal="81" workbookViewId="0">
      <pane ySplit="5" topLeftCell="A6" activePane="bottomLeft" state="frozen"/>
      <selection pane="bottomLeft" activeCell="U14" sqref="U14"/>
    </sheetView>
  </sheetViews>
  <sheetFormatPr defaultColWidth="0" defaultRowHeight="12.75" zeroHeight="1" x14ac:dyDescent="0.2"/>
  <cols>
    <col min="1" max="1" width="21" customWidth="1"/>
    <col min="2" max="2" width="41.85546875" customWidth="1"/>
    <col min="3" max="3" width="5.7109375" customWidth="1"/>
    <col min="4" max="4" width="11.140625" bestFit="1" customWidth="1"/>
    <col min="5" max="5" width="12.7109375" customWidth="1"/>
    <col min="6" max="6" width="10.5703125" customWidth="1"/>
    <col min="7" max="8" width="9.140625" customWidth="1"/>
    <col min="9" max="9" width="12.7109375" customWidth="1"/>
    <col min="10" max="13" width="12.5703125" customWidth="1"/>
    <col min="14" max="14" width="14.85546875" customWidth="1"/>
    <col min="15" max="16" width="4.7109375" customWidth="1"/>
    <col min="17" max="24" width="9.140625" customWidth="1"/>
    <col min="25" max="25" width="11.140625" hidden="1" customWidth="1"/>
    <col min="26" max="26" width="9.140625" hidden="1" customWidth="1"/>
    <col min="27" max="27" width="13.42578125" hidden="1" customWidth="1"/>
    <col min="28" max="16384" width="9.140625" hidden="1"/>
  </cols>
  <sheetData>
    <row r="1" spans="1:27" x14ac:dyDescent="0.2"/>
    <row r="2" spans="1:27" ht="24.95" customHeight="1" x14ac:dyDescent="0.2">
      <c r="A2" s="137" t="s">
        <v>63</v>
      </c>
      <c r="B2" s="128"/>
      <c r="D2" s="181" t="s">
        <v>0</v>
      </c>
      <c r="E2" s="182"/>
      <c r="F2" s="182"/>
      <c r="G2" s="182"/>
      <c r="H2" s="182"/>
      <c r="I2" s="182"/>
      <c r="J2" s="182"/>
      <c r="K2" s="182"/>
      <c r="L2" s="182"/>
      <c r="M2" s="182"/>
      <c r="N2" s="183"/>
      <c r="Y2" s="95"/>
      <c r="Z2" s="96"/>
      <c r="AA2" s="97"/>
    </row>
    <row r="3" spans="1:27" ht="15" x14ac:dyDescent="0.25">
      <c r="A3" s="130" t="s">
        <v>22</v>
      </c>
      <c r="B3" s="131" t="str">
        <f>Dados!C4</f>
        <v>0000XXX-XX.2021.5.09.0658</v>
      </c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Y3" s="98"/>
      <c r="Z3" s="99"/>
      <c r="AA3" s="100"/>
    </row>
    <row r="4" spans="1:27" ht="15.95" customHeight="1" x14ac:dyDescent="0.25">
      <c r="A4" s="130" t="s">
        <v>24</v>
      </c>
      <c r="B4" s="131" t="str">
        <f>reclamante</f>
        <v>Francisco Raimundo Nonato</v>
      </c>
      <c r="D4" s="184" t="s">
        <v>1</v>
      </c>
      <c r="E4" s="179" t="s">
        <v>2</v>
      </c>
      <c r="F4" s="179" t="s">
        <v>9</v>
      </c>
      <c r="G4" s="179" t="s">
        <v>10</v>
      </c>
      <c r="H4" s="179" t="s">
        <v>11</v>
      </c>
      <c r="I4" s="179" t="s">
        <v>12</v>
      </c>
      <c r="J4" s="179" t="s">
        <v>16</v>
      </c>
      <c r="K4" s="179" t="s">
        <v>17</v>
      </c>
      <c r="L4" s="179" t="s">
        <v>54</v>
      </c>
      <c r="M4" s="179" t="s">
        <v>56</v>
      </c>
      <c r="N4" s="179" t="s">
        <v>13</v>
      </c>
      <c r="Y4" s="98"/>
      <c r="Z4" s="99"/>
      <c r="AA4" s="100"/>
    </row>
    <row r="5" spans="1:27" ht="15.95" customHeight="1" x14ac:dyDescent="0.25">
      <c r="A5" s="130" t="s">
        <v>26</v>
      </c>
      <c r="B5" s="131" t="str">
        <f>reclamada</f>
        <v>Comercial Arapiraca Ltda</v>
      </c>
      <c r="D5" s="185"/>
      <c r="E5" s="186"/>
      <c r="F5" s="186"/>
      <c r="G5" s="186"/>
      <c r="H5" s="186"/>
      <c r="I5" s="186"/>
      <c r="J5" s="180"/>
      <c r="K5" s="180"/>
      <c r="L5" s="180"/>
      <c r="M5" s="180"/>
      <c r="N5" s="186"/>
      <c r="Y5" s="98"/>
      <c r="Z5" s="99"/>
      <c r="AA5" s="100"/>
    </row>
    <row r="6" spans="1:27" ht="18" customHeight="1" x14ac:dyDescent="0.25">
      <c r="A6" s="127" t="s">
        <v>64</v>
      </c>
      <c r="B6" s="129" t="str">
        <f>Dados!C7</f>
        <v>2ª Vara do Trabalho de Foz do Iguaçu</v>
      </c>
      <c r="D6" s="166">
        <f>DATE(YEAR(exigível),MONTH(exigível),1)</f>
        <v>44317</v>
      </c>
      <c r="E6" s="167">
        <f>IF(D6="","",VLOOKUP(D6,tabela_minimo,3,0))</f>
        <v>1100</v>
      </c>
      <c r="F6" s="167">
        <f t="shared" ref="F6:F37" si="0">IF(D6="","",IFERROR(E6*ad_insalubre,0))</f>
        <v>440</v>
      </c>
      <c r="G6" s="167">
        <f t="shared" ref="G6:G37" si="1">IF(D6="","",IF(MONTH(D6)=12,F6,IF(AND(YEAR(D6)=YEAR(dispensa),MONTH(D6)=MONTH(dispensa)),F6*MONTH(dispensa)/12,0)))</f>
        <v>0</v>
      </c>
      <c r="H6" s="167">
        <f>IF(D6="","",IFERROR(F6*11.11%,0))</f>
        <v>48.883999999999993</v>
      </c>
      <c r="I6" s="167">
        <f>IF(D6="","",SUM(F6:H6))</f>
        <v>488.88400000000001</v>
      </c>
      <c r="J6" s="168">
        <f t="shared" ref="J6:J37" si="2">IF(D6="","",IFERROR(E6*insalubre_pg,0))</f>
        <v>0</v>
      </c>
      <c r="K6" s="167">
        <f>IF(D6="",0,I6-J6)</f>
        <v>488.88400000000001</v>
      </c>
      <c r="L6" s="169">
        <f t="shared" ref="L6:L37" si="3">IF(D6="","",LOOKUP(D6,ms,índice_tst))</f>
        <v>1.3355308994951958</v>
      </c>
      <c r="M6" s="167">
        <f>IF(D6="","",K6*L6)</f>
        <v>652.9196882688093</v>
      </c>
      <c r="N6" s="167">
        <f t="shared" ref="N6:N37" si="4">IF(D6="","",M6*FGTS_perc)</f>
        <v>73.127005086106649</v>
      </c>
      <c r="Y6" s="98"/>
      <c r="Z6" s="99"/>
      <c r="AA6" s="100"/>
    </row>
    <row r="7" spans="1:27" ht="18" customHeight="1" x14ac:dyDescent="0.25">
      <c r="D7" s="166">
        <f t="shared" ref="D7:D38" si="5">IF(D6="","",IF(EDATE(D6,1)&gt;dispensa,"",EDATE(D6,1)))</f>
        <v>44348</v>
      </c>
      <c r="E7" s="167">
        <f t="shared" ref="E7:E38" si="6">IF(D7="","",IFERROR(VLOOKUP(D7,tabela_minimo,3,0),"-"))</f>
        <v>1100</v>
      </c>
      <c r="F7" s="167">
        <f t="shared" si="0"/>
        <v>440</v>
      </c>
      <c r="G7" s="167">
        <f t="shared" si="1"/>
        <v>0</v>
      </c>
      <c r="H7" s="167">
        <f t="shared" ref="H7:H70" si="7">IF(D7="","",IFERROR(F7*11.11%,0))</f>
        <v>48.883999999999993</v>
      </c>
      <c r="I7" s="167">
        <f t="shared" ref="I7:I77" si="8">IF(D7="","",SUM(F7:H7))</f>
        <v>488.88400000000001</v>
      </c>
      <c r="J7" s="168">
        <f t="shared" si="2"/>
        <v>0</v>
      </c>
      <c r="K7" s="167">
        <f t="shared" ref="K7:K70" si="9">IF(D7="",0,I7-J7)</f>
        <v>488.88400000000001</v>
      </c>
      <c r="L7" s="169">
        <f t="shared" si="3"/>
        <v>1.3245372403998767</v>
      </c>
      <c r="M7" s="167">
        <f t="shared" ref="M7:M70" si="10">IF(D7="","",K7*L7)</f>
        <v>647.5450642356534</v>
      </c>
      <c r="N7" s="167">
        <f t="shared" si="4"/>
        <v>72.525047194393181</v>
      </c>
      <c r="R7" s="8"/>
      <c r="Y7" s="98"/>
      <c r="Z7" s="99"/>
      <c r="AA7" s="100"/>
    </row>
    <row r="8" spans="1:27" ht="18" customHeight="1" x14ac:dyDescent="0.25">
      <c r="A8" s="126" t="s">
        <v>65</v>
      </c>
      <c r="B8" s="128"/>
      <c r="D8" s="166">
        <f t="shared" si="5"/>
        <v>44378</v>
      </c>
      <c r="E8" s="167">
        <f t="shared" si="6"/>
        <v>1100</v>
      </c>
      <c r="F8" s="167">
        <f t="shared" si="0"/>
        <v>440</v>
      </c>
      <c r="G8" s="167">
        <f t="shared" si="1"/>
        <v>0</v>
      </c>
      <c r="H8" s="167">
        <f t="shared" si="7"/>
        <v>48.883999999999993</v>
      </c>
      <c r="I8" s="167">
        <f t="shared" si="8"/>
        <v>488.88400000000001</v>
      </c>
      <c r="J8" s="168">
        <f t="shared" si="2"/>
        <v>0</v>
      </c>
      <c r="K8" s="167">
        <f t="shared" si="9"/>
        <v>488.88400000000001</v>
      </c>
      <c r="L8" s="169">
        <f t="shared" si="3"/>
        <v>1.3150687454327608</v>
      </c>
      <c r="M8" s="167">
        <f t="shared" si="10"/>
        <v>642.91606854214979</v>
      </c>
      <c r="N8" s="167">
        <f t="shared" si="4"/>
        <v>72.006599676720782</v>
      </c>
      <c r="Y8" s="98"/>
      <c r="Z8" s="99"/>
      <c r="AA8" s="100"/>
    </row>
    <row r="9" spans="1:27" ht="18" customHeight="1" x14ac:dyDescent="0.25">
      <c r="A9" s="130" t="s">
        <v>32</v>
      </c>
      <c r="B9" s="133">
        <f>admissão</f>
        <v>44053</v>
      </c>
      <c r="D9" s="166">
        <f t="shared" si="5"/>
        <v>44409</v>
      </c>
      <c r="E9" s="167">
        <f t="shared" si="6"/>
        <v>1100</v>
      </c>
      <c r="F9" s="167">
        <f t="shared" si="0"/>
        <v>440</v>
      </c>
      <c r="G9" s="167">
        <f t="shared" si="1"/>
        <v>0</v>
      </c>
      <c r="H9" s="167">
        <f t="shared" si="7"/>
        <v>48.883999999999993</v>
      </c>
      <c r="I9" s="167">
        <f t="shared" si="8"/>
        <v>488.88400000000001</v>
      </c>
      <c r="J9" s="168">
        <f t="shared" si="2"/>
        <v>0</v>
      </c>
      <c r="K9" s="167">
        <f t="shared" si="9"/>
        <v>488.88400000000001</v>
      </c>
      <c r="L9" s="169">
        <f t="shared" si="3"/>
        <v>1.3034678812892861</v>
      </c>
      <c r="M9" s="167">
        <f t="shared" si="10"/>
        <v>637.24459167623138</v>
      </c>
      <c r="N9" s="167">
        <f t="shared" si="4"/>
        <v>71.371394267737912</v>
      </c>
      <c r="Y9" s="98"/>
      <c r="Z9" s="99"/>
      <c r="AA9" s="100"/>
    </row>
    <row r="10" spans="1:27" ht="18" customHeight="1" x14ac:dyDescent="0.25">
      <c r="A10" s="130" t="s">
        <v>66</v>
      </c>
      <c r="B10" s="133">
        <f>dispensa</f>
        <v>46112</v>
      </c>
      <c r="D10" s="166">
        <f t="shared" si="5"/>
        <v>44440</v>
      </c>
      <c r="E10" s="167">
        <f t="shared" si="6"/>
        <v>1100</v>
      </c>
      <c r="F10" s="167">
        <f t="shared" si="0"/>
        <v>440</v>
      </c>
      <c r="G10" s="167">
        <f t="shared" si="1"/>
        <v>0</v>
      </c>
      <c r="H10" s="167">
        <f t="shared" si="7"/>
        <v>48.883999999999993</v>
      </c>
      <c r="I10" s="167">
        <f t="shared" si="8"/>
        <v>488.88400000000001</v>
      </c>
      <c r="J10" s="168">
        <f t="shared" si="2"/>
        <v>0</v>
      </c>
      <c r="K10" s="167">
        <f t="shared" si="9"/>
        <v>488.88400000000001</v>
      </c>
      <c r="L10" s="169">
        <f t="shared" si="3"/>
        <v>1.2887758367503324</v>
      </c>
      <c r="M10" s="167">
        <f t="shared" si="10"/>
        <v>630.06188617384953</v>
      </c>
      <c r="N10" s="167">
        <f t="shared" si="4"/>
        <v>70.566931251471146</v>
      </c>
      <c r="Y10" s="98"/>
      <c r="Z10" s="99"/>
      <c r="AA10" s="100"/>
    </row>
    <row r="11" spans="1:27" ht="18" customHeight="1" x14ac:dyDescent="0.25">
      <c r="A11" s="130" t="s">
        <v>34</v>
      </c>
      <c r="B11" s="133">
        <f>ajuiza</f>
        <v>46157</v>
      </c>
      <c r="D11" s="166">
        <f t="shared" si="5"/>
        <v>44470</v>
      </c>
      <c r="E11" s="167">
        <f t="shared" si="6"/>
        <v>1100</v>
      </c>
      <c r="F11" s="167">
        <f t="shared" si="0"/>
        <v>440</v>
      </c>
      <c r="G11" s="167">
        <f t="shared" si="1"/>
        <v>0</v>
      </c>
      <c r="H11" s="167">
        <f t="shared" si="7"/>
        <v>48.883999999999993</v>
      </c>
      <c r="I11" s="167">
        <f t="shared" si="8"/>
        <v>488.88400000000001</v>
      </c>
      <c r="J11" s="168">
        <f t="shared" si="2"/>
        <v>0</v>
      </c>
      <c r="K11" s="167">
        <f t="shared" si="9"/>
        <v>488.88400000000001</v>
      </c>
      <c r="L11" s="169">
        <f t="shared" si="3"/>
        <v>1.2734939098323441</v>
      </c>
      <c r="M11" s="167">
        <f t="shared" si="10"/>
        <v>622.59079661447572</v>
      </c>
      <c r="N11" s="167">
        <f t="shared" si="4"/>
        <v>69.730169220821281</v>
      </c>
      <c r="Y11" s="98"/>
      <c r="Z11" s="99"/>
      <c r="AA11" s="100"/>
    </row>
    <row r="12" spans="1:27" ht="18" customHeight="1" x14ac:dyDescent="0.25">
      <c r="A12" s="130" t="s">
        <v>35</v>
      </c>
      <c r="B12" s="133">
        <f>prescrição</f>
        <v>44331</v>
      </c>
      <c r="D12" s="166">
        <f t="shared" si="5"/>
        <v>44501</v>
      </c>
      <c r="E12" s="167">
        <f t="shared" si="6"/>
        <v>1100</v>
      </c>
      <c r="F12" s="167">
        <f t="shared" si="0"/>
        <v>440</v>
      </c>
      <c r="G12" s="167">
        <f t="shared" si="1"/>
        <v>0</v>
      </c>
      <c r="H12" s="167">
        <f t="shared" si="7"/>
        <v>48.883999999999993</v>
      </c>
      <c r="I12" s="167">
        <f t="shared" si="8"/>
        <v>488.88400000000001</v>
      </c>
      <c r="J12" s="168">
        <f t="shared" si="2"/>
        <v>0</v>
      </c>
      <c r="K12" s="167">
        <f t="shared" si="9"/>
        <v>488.88400000000001</v>
      </c>
      <c r="L12" s="169">
        <f t="shared" si="3"/>
        <v>1.2587663436120826</v>
      </c>
      <c r="M12" s="167">
        <f t="shared" si="10"/>
        <v>615.39072513044937</v>
      </c>
      <c r="N12" s="167">
        <f t="shared" si="4"/>
        <v>68.923761214610337</v>
      </c>
      <c r="Y12" s="98"/>
      <c r="Z12" s="99"/>
      <c r="AA12" s="100"/>
    </row>
    <row r="13" spans="1:27" ht="18" customHeight="1" x14ac:dyDescent="0.25">
      <c r="A13" s="130" t="s">
        <v>42</v>
      </c>
      <c r="B13" s="133">
        <f>exigível</f>
        <v>44317</v>
      </c>
      <c r="D13" s="166">
        <f t="shared" si="5"/>
        <v>44531</v>
      </c>
      <c r="E13" s="167">
        <f t="shared" si="6"/>
        <v>1100</v>
      </c>
      <c r="F13" s="167">
        <f t="shared" si="0"/>
        <v>440</v>
      </c>
      <c r="G13" s="167">
        <f t="shared" si="1"/>
        <v>440</v>
      </c>
      <c r="H13" s="167">
        <f t="shared" si="7"/>
        <v>48.883999999999993</v>
      </c>
      <c r="I13" s="167">
        <f t="shared" si="8"/>
        <v>928.88400000000001</v>
      </c>
      <c r="J13" s="168">
        <f t="shared" si="2"/>
        <v>0</v>
      </c>
      <c r="K13" s="167">
        <f t="shared" si="9"/>
        <v>928.88400000000001</v>
      </c>
      <c r="L13" s="169">
        <f t="shared" si="3"/>
        <v>1.249023956749437</v>
      </c>
      <c r="M13" s="167">
        <f t="shared" si="10"/>
        <v>1160.198369041244</v>
      </c>
      <c r="N13" s="167">
        <f t="shared" si="4"/>
        <v>129.94221733261932</v>
      </c>
      <c r="Y13" s="98"/>
      <c r="Z13" s="99"/>
      <c r="AA13" s="100"/>
    </row>
    <row r="14" spans="1:27" ht="18" customHeight="1" x14ac:dyDescent="0.25">
      <c r="A14" s="127" t="s">
        <v>67</v>
      </c>
      <c r="B14" s="132">
        <f>atualiza</f>
        <v>46174</v>
      </c>
      <c r="D14" s="166">
        <f t="shared" si="5"/>
        <v>44562</v>
      </c>
      <c r="E14" s="167">
        <f t="shared" si="6"/>
        <v>1212</v>
      </c>
      <c r="F14" s="167">
        <f t="shared" si="0"/>
        <v>484.8</v>
      </c>
      <c r="G14" s="167">
        <f t="shared" si="1"/>
        <v>0</v>
      </c>
      <c r="H14" s="167">
        <f t="shared" si="7"/>
        <v>53.861279999999994</v>
      </c>
      <c r="I14" s="167">
        <f t="shared" si="8"/>
        <v>538.66128000000003</v>
      </c>
      <c r="J14" s="168">
        <f t="shared" si="2"/>
        <v>0</v>
      </c>
      <c r="K14" s="167">
        <f t="shared" si="9"/>
        <v>538.66128000000003</v>
      </c>
      <c r="L14" s="169">
        <f t="shared" si="3"/>
        <v>1.2418213926719397</v>
      </c>
      <c r="M14" s="167">
        <f t="shared" si="10"/>
        <v>668.92110090804965</v>
      </c>
      <c r="N14" s="167">
        <f t="shared" si="4"/>
        <v>74.919163301701559</v>
      </c>
      <c r="Y14" s="98"/>
      <c r="Z14" s="99"/>
      <c r="AA14" s="100"/>
    </row>
    <row r="15" spans="1:27" ht="18" customHeight="1" x14ac:dyDescent="0.25">
      <c r="D15" s="166">
        <f t="shared" si="5"/>
        <v>44593</v>
      </c>
      <c r="E15" s="167">
        <f t="shared" si="6"/>
        <v>1212</v>
      </c>
      <c r="F15" s="167">
        <f t="shared" si="0"/>
        <v>484.8</v>
      </c>
      <c r="G15" s="167">
        <f t="shared" si="1"/>
        <v>0</v>
      </c>
      <c r="H15" s="167">
        <f t="shared" si="7"/>
        <v>53.861279999999994</v>
      </c>
      <c r="I15" s="167">
        <f t="shared" si="8"/>
        <v>538.66128000000003</v>
      </c>
      <c r="J15" s="168">
        <f t="shared" si="2"/>
        <v>0</v>
      </c>
      <c r="K15" s="167">
        <f t="shared" si="9"/>
        <v>538.66128000000003</v>
      </c>
      <c r="L15" s="169">
        <f t="shared" si="3"/>
        <v>1.2296478786730762</v>
      </c>
      <c r="M15" s="167">
        <f t="shared" si="10"/>
        <v>662.36370027532394</v>
      </c>
      <c r="N15" s="167">
        <f t="shared" si="4"/>
        <v>74.184734430836286</v>
      </c>
      <c r="Y15" s="98"/>
      <c r="Z15" s="99"/>
      <c r="AA15" s="100"/>
    </row>
    <row r="16" spans="1:27" ht="18" customHeight="1" x14ac:dyDescent="0.25">
      <c r="A16" s="126" t="s">
        <v>68</v>
      </c>
      <c r="B16" s="128"/>
      <c r="D16" s="166">
        <f t="shared" si="5"/>
        <v>44621</v>
      </c>
      <c r="E16" s="167">
        <f t="shared" si="6"/>
        <v>1212</v>
      </c>
      <c r="F16" s="167">
        <f t="shared" si="0"/>
        <v>484.8</v>
      </c>
      <c r="G16" s="167">
        <f t="shared" si="1"/>
        <v>0</v>
      </c>
      <c r="H16" s="167">
        <f t="shared" si="7"/>
        <v>53.861279999999994</v>
      </c>
      <c r="I16" s="167">
        <f t="shared" si="8"/>
        <v>538.66128000000003</v>
      </c>
      <c r="J16" s="168">
        <f t="shared" si="2"/>
        <v>0</v>
      </c>
      <c r="K16" s="167">
        <f t="shared" si="9"/>
        <v>538.66128000000003</v>
      </c>
      <c r="L16" s="169">
        <f t="shared" si="3"/>
        <v>1.2180761551986885</v>
      </c>
      <c r="M16" s="167">
        <f t="shared" si="10"/>
        <v>656.13046089680427</v>
      </c>
      <c r="N16" s="167">
        <f t="shared" si="4"/>
        <v>73.486611620442076</v>
      </c>
      <c r="Y16" s="98"/>
      <c r="Z16" s="99"/>
      <c r="AA16" s="100"/>
    </row>
    <row r="17" spans="1:27" ht="18" customHeight="1" x14ac:dyDescent="0.25">
      <c r="A17" s="130" t="s">
        <v>69</v>
      </c>
      <c r="B17" s="131" t="str">
        <f>Dados!C15</f>
        <v>Salário mínimo</v>
      </c>
      <c r="D17" s="166">
        <f t="shared" si="5"/>
        <v>44652</v>
      </c>
      <c r="E17" s="167">
        <f t="shared" si="6"/>
        <v>1212</v>
      </c>
      <c r="F17" s="167">
        <f t="shared" si="0"/>
        <v>484.8</v>
      </c>
      <c r="G17" s="167">
        <f t="shared" si="1"/>
        <v>0</v>
      </c>
      <c r="H17" s="167">
        <f t="shared" si="7"/>
        <v>53.861279999999994</v>
      </c>
      <c r="I17" s="167">
        <f t="shared" si="8"/>
        <v>538.66128000000003</v>
      </c>
      <c r="J17" s="168">
        <f t="shared" si="2"/>
        <v>0</v>
      </c>
      <c r="K17" s="167">
        <f t="shared" si="9"/>
        <v>538.66128000000003</v>
      </c>
      <c r="L17" s="169">
        <f t="shared" si="3"/>
        <v>1.1973617961257135</v>
      </c>
      <c r="M17" s="167">
        <f t="shared" si="10"/>
        <v>644.97243772417585</v>
      </c>
      <c r="N17" s="167">
        <f t="shared" si="4"/>
        <v>72.236913025107697</v>
      </c>
      <c r="Y17" s="98"/>
      <c r="Z17" s="99"/>
      <c r="AA17" s="100"/>
    </row>
    <row r="18" spans="1:27" ht="18" customHeight="1" x14ac:dyDescent="0.25">
      <c r="A18" s="130" t="s">
        <v>70</v>
      </c>
      <c r="B18" s="134">
        <f>ad_insalubre</f>
        <v>0.4</v>
      </c>
      <c r="D18" s="166">
        <f t="shared" si="5"/>
        <v>44682</v>
      </c>
      <c r="E18" s="167">
        <f t="shared" si="6"/>
        <v>1212</v>
      </c>
      <c r="F18" s="167">
        <f t="shared" si="0"/>
        <v>484.8</v>
      </c>
      <c r="G18" s="167">
        <f t="shared" si="1"/>
        <v>0</v>
      </c>
      <c r="H18" s="167">
        <f t="shared" si="7"/>
        <v>53.861279999999994</v>
      </c>
      <c r="I18" s="167">
        <f t="shared" si="8"/>
        <v>538.66128000000003</v>
      </c>
      <c r="J18" s="168">
        <f t="shared" si="2"/>
        <v>0</v>
      </c>
      <c r="K18" s="167">
        <f t="shared" si="9"/>
        <v>538.66128000000003</v>
      </c>
      <c r="L18" s="169">
        <f t="shared" si="3"/>
        <v>1.1903387972221031</v>
      </c>
      <c r="M18" s="167">
        <f t="shared" si="10"/>
        <v>641.18942014531854</v>
      </c>
      <c r="N18" s="167">
        <f t="shared" si="4"/>
        <v>71.813215056275681</v>
      </c>
      <c r="Y18" s="98"/>
      <c r="Z18" s="99"/>
      <c r="AA18" s="100"/>
    </row>
    <row r="19" spans="1:27" ht="18" customHeight="1" x14ac:dyDescent="0.25">
      <c r="A19" s="130" t="s">
        <v>71</v>
      </c>
      <c r="B19" s="134">
        <f>insalubre_pg</f>
        <v>0</v>
      </c>
      <c r="D19" s="166">
        <f t="shared" si="5"/>
        <v>44713</v>
      </c>
      <c r="E19" s="167">
        <f t="shared" si="6"/>
        <v>1212</v>
      </c>
      <c r="F19" s="167">
        <f t="shared" si="0"/>
        <v>484.8</v>
      </c>
      <c r="G19" s="167">
        <f t="shared" si="1"/>
        <v>0</v>
      </c>
      <c r="H19" s="167">
        <f t="shared" si="7"/>
        <v>53.861279999999994</v>
      </c>
      <c r="I19" s="167">
        <f t="shared" si="8"/>
        <v>538.66128000000003</v>
      </c>
      <c r="J19" s="168">
        <f t="shared" si="2"/>
        <v>0</v>
      </c>
      <c r="K19" s="167">
        <f t="shared" si="9"/>
        <v>538.66128000000003</v>
      </c>
      <c r="L19" s="169">
        <f t="shared" si="3"/>
        <v>1.1821817431940642</v>
      </c>
      <c r="M19" s="167">
        <f t="shared" si="10"/>
        <v>636.79553098154599</v>
      </c>
      <c r="N19" s="167">
        <f t="shared" si="4"/>
        <v>71.321099469933159</v>
      </c>
      <c r="Y19" s="98"/>
      <c r="Z19" s="99"/>
      <c r="AA19" s="100"/>
    </row>
    <row r="20" spans="1:27" ht="18" customHeight="1" x14ac:dyDescent="0.25">
      <c r="A20" s="127" t="s">
        <v>72</v>
      </c>
      <c r="B20" s="135">
        <f>FGTS_perc</f>
        <v>0.112</v>
      </c>
      <c r="D20" s="166">
        <f t="shared" si="5"/>
        <v>44743</v>
      </c>
      <c r="E20" s="167">
        <f t="shared" si="6"/>
        <v>1212</v>
      </c>
      <c r="F20" s="167">
        <f t="shared" si="0"/>
        <v>484.8</v>
      </c>
      <c r="G20" s="167">
        <f t="shared" si="1"/>
        <v>0</v>
      </c>
      <c r="H20" s="167">
        <f t="shared" si="7"/>
        <v>53.861279999999994</v>
      </c>
      <c r="I20" s="167">
        <f t="shared" si="8"/>
        <v>538.66128000000003</v>
      </c>
      <c r="J20" s="168">
        <f t="shared" si="2"/>
        <v>0</v>
      </c>
      <c r="K20" s="167">
        <f t="shared" si="9"/>
        <v>538.66128000000003</v>
      </c>
      <c r="L20" s="169">
        <f t="shared" si="3"/>
        <v>1.1806469022211765</v>
      </c>
      <c r="M20" s="167">
        <f t="shared" si="10"/>
        <v>635.96877157849383</v>
      </c>
      <c r="N20" s="167">
        <f t="shared" si="4"/>
        <v>71.228502416791315</v>
      </c>
      <c r="Y20" s="98"/>
      <c r="Z20" s="99"/>
      <c r="AA20" s="100"/>
    </row>
    <row r="21" spans="1:27" ht="18" customHeight="1" x14ac:dyDescent="0.25">
      <c r="B21" s="112"/>
      <c r="C21" s="109"/>
      <c r="D21" s="166">
        <f t="shared" si="5"/>
        <v>44774</v>
      </c>
      <c r="E21" s="167">
        <f t="shared" si="6"/>
        <v>1212</v>
      </c>
      <c r="F21" s="167">
        <f t="shared" si="0"/>
        <v>484.8</v>
      </c>
      <c r="G21" s="167">
        <f t="shared" si="1"/>
        <v>0</v>
      </c>
      <c r="H21" s="167">
        <f t="shared" si="7"/>
        <v>53.861279999999994</v>
      </c>
      <c r="I21" s="167">
        <f t="shared" si="8"/>
        <v>538.66128000000003</v>
      </c>
      <c r="J21" s="168">
        <f t="shared" si="2"/>
        <v>0</v>
      </c>
      <c r="K21" s="167">
        <f t="shared" si="9"/>
        <v>538.66128000000003</v>
      </c>
      <c r="L21" s="169">
        <f t="shared" si="3"/>
        <v>1.1893290039500115</v>
      </c>
      <c r="M21" s="167">
        <f t="shared" si="10"/>
        <v>640.64548360883828</v>
      </c>
      <c r="N21" s="167">
        <f t="shared" si="4"/>
        <v>71.752294164189891</v>
      </c>
      <c r="Y21" s="98"/>
      <c r="Z21" s="99"/>
      <c r="AA21" s="100"/>
    </row>
    <row r="22" spans="1:27" ht="18" customHeight="1" x14ac:dyDescent="0.25">
      <c r="A22" s="126" t="s">
        <v>73</v>
      </c>
      <c r="B22" s="138"/>
      <c r="C22" s="109"/>
      <c r="D22" s="166">
        <f t="shared" si="5"/>
        <v>44805</v>
      </c>
      <c r="E22" s="167">
        <f t="shared" si="6"/>
        <v>1212</v>
      </c>
      <c r="F22" s="167">
        <f t="shared" si="0"/>
        <v>484.8</v>
      </c>
      <c r="G22" s="167">
        <f t="shared" si="1"/>
        <v>0</v>
      </c>
      <c r="H22" s="167">
        <f t="shared" si="7"/>
        <v>53.861279999999994</v>
      </c>
      <c r="I22" s="167">
        <f t="shared" si="8"/>
        <v>538.66128000000003</v>
      </c>
      <c r="J22" s="168">
        <f t="shared" si="2"/>
        <v>0</v>
      </c>
      <c r="K22" s="167">
        <f t="shared" si="9"/>
        <v>538.66128000000003</v>
      </c>
      <c r="L22" s="169">
        <f t="shared" si="3"/>
        <v>1.1937458636454998</v>
      </c>
      <c r="M22" s="167">
        <f t="shared" si="10"/>
        <v>643.02467490599042</v>
      </c>
      <c r="N22" s="167">
        <f t="shared" si="4"/>
        <v>72.018763589470936</v>
      </c>
      <c r="Y22" s="98"/>
      <c r="Z22" s="99"/>
      <c r="AA22" s="100"/>
    </row>
    <row r="23" spans="1:27" ht="18" customHeight="1" x14ac:dyDescent="0.25">
      <c r="A23" s="130" t="s">
        <v>74</v>
      </c>
      <c r="B23" s="139">
        <f>SUM(F6:F77)</f>
        <v>31654.000000000004</v>
      </c>
      <c r="C23" s="109"/>
      <c r="D23" s="166">
        <f t="shared" si="5"/>
        <v>44835</v>
      </c>
      <c r="E23" s="167">
        <f t="shared" si="6"/>
        <v>1212</v>
      </c>
      <c r="F23" s="167">
        <f t="shared" si="0"/>
        <v>484.8</v>
      </c>
      <c r="G23" s="167">
        <f t="shared" si="1"/>
        <v>0</v>
      </c>
      <c r="H23" s="167">
        <f t="shared" si="7"/>
        <v>53.861279999999994</v>
      </c>
      <c r="I23" s="167">
        <f t="shared" si="8"/>
        <v>538.66128000000003</v>
      </c>
      <c r="J23" s="168">
        <f t="shared" si="2"/>
        <v>0</v>
      </c>
      <c r="K23" s="167">
        <f t="shared" si="9"/>
        <v>538.66128000000003</v>
      </c>
      <c r="L23" s="169">
        <f t="shared" si="3"/>
        <v>1.1918389213713056</v>
      </c>
      <c r="M23" s="167">
        <f t="shared" si="10"/>
        <v>641.99747893968686</v>
      </c>
      <c r="N23" s="167">
        <f t="shared" si="4"/>
        <v>71.903717641244924</v>
      </c>
      <c r="Y23" s="98"/>
      <c r="Z23" s="99"/>
      <c r="AA23" s="100"/>
    </row>
    <row r="24" spans="1:27" ht="18" customHeight="1" x14ac:dyDescent="0.25">
      <c r="A24" s="130" t="s">
        <v>75</v>
      </c>
      <c r="B24" s="139">
        <f>SUM(G6:G77)</f>
        <v>2786.9</v>
      </c>
      <c r="C24" s="109"/>
      <c r="D24" s="166">
        <f t="shared" si="5"/>
        <v>44866</v>
      </c>
      <c r="E24" s="167">
        <f t="shared" si="6"/>
        <v>1212</v>
      </c>
      <c r="F24" s="167">
        <f t="shared" si="0"/>
        <v>484.8</v>
      </c>
      <c r="G24" s="167">
        <f t="shared" si="1"/>
        <v>0</v>
      </c>
      <c r="H24" s="167">
        <f t="shared" si="7"/>
        <v>53.861279999999994</v>
      </c>
      <c r="I24" s="167">
        <f t="shared" si="8"/>
        <v>538.66128000000003</v>
      </c>
      <c r="J24" s="168">
        <f t="shared" si="2"/>
        <v>0</v>
      </c>
      <c r="K24" s="167">
        <f t="shared" si="9"/>
        <v>538.66128000000003</v>
      </c>
      <c r="L24" s="169">
        <f t="shared" si="3"/>
        <v>1.1855554773413961</v>
      </c>
      <c r="M24" s="167">
        <f t="shared" si="10"/>
        <v>638.61283093572752</v>
      </c>
      <c r="N24" s="167">
        <f t="shared" si="4"/>
        <v>71.524637064801482</v>
      </c>
      <c r="Y24" s="98"/>
      <c r="Z24" s="99"/>
      <c r="AA24" s="100"/>
    </row>
    <row r="25" spans="1:27" ht="18" customHeight="1" x14ac:dyDescent="0.25">
      <c r="A25" s="130" t="s">
        <v>76</v>
      </c>
      <c r="B25" s="139">
        <f>SUM(H6:H77)</f>
        <v>3516.7593999999981</v>
      </c>
      <c r="C25" s="109"/>
      <c r="D25" s="166">
        <f t="shared" si="5"/>
        <v>44896</v>
      </c>
      <c r="E25" s="167">
        <f t="shared" si="6"/>
        <v>1212</v>
      </c>
      <c r="F25" s="167">
        <f t="shared" si="0"/>
        <v>484.8</v>
      </c>
      <c r="G25" s="167">
        <f t="shared" si="1"/>
        <v>484.8</v>
      </c>
      <c r="H25" s="167">
        <f t="shared" si="7"/>
        <v>53.861279999999994</v>
      </c>
      <c r="I25" s="167">
        <f t="shared" si="8"/>
        <v>1023.46128</v>
      </c>
      <c r="J25" s="168">
        <f t="shared" si="2"/>
        <v>0</v>
      </c>
      <c r="K25" s="167">
        <f t="shared" si="9"/>
        <v>1023.46128</v>
      </c>
      <c r="L25" s="169">
        <f t="shared" si="3"/>
        <v>1.1794224804430919</v>
      </c>
      <c r="M25" s="167">
        <f t="shared" si="10"/>
        <v>1207.0932414950619</v>
      </c>
      <c r="N25" s="167">
        <f t="shared" si="4"/>
        <v>135.19444304744692</v>
      </c>
      <c r="Y25" s="98"/>
      <c r="Z25" s="99"/>
      <c r="AA25" s="100"/>
    </row>
    <row r="26" spans="1:27" ht="18" customHeight="1" thickBot="1" x14ac:dyDescent="0.3">
      <c r="A26" s="130" t="s">
        <v>77</v>
      </c>
      <c r="B26" s="140">
        <f>SUM(J6:J77)</f>
        <v>0</v>
      </c>
      <c r="C26" s="109"/>
      <c r="D26" s="166">
        <f t="shared" si="5"/>
        <v>44927</v>
      </c>
      <c r="E26" s="167">
        <f t="shared" si="6"/>
        <v>1302</v>
      </c>
      <c r="F26" s="167">
        <f t="shared" si="0"/>
        <v>520.80000000000007</v>
      </c>
      <c r="G26" s="167">
        <f t="shared" si="1"/>
        <v>0</v>
      </c>
      <c r="H26" s="167">
        <f t="shared" si="7"/>
        <v>57.860880000000002</v>
      </c>
      <c r="I26" s="167">
        <f t="shared" si="8"/>
        <v>578.66088000000002</v>
      </c>
      <c r="J26" s="168">
        <f t="shared" si="2"/>
        <v>0</v>
      </c>
      <c r="K26" s="167">
        <f t="shared" si="9"/>
        <v>578.66088000000002</v>
      </c>
      <c r="L26" s="169">
        <f t="shared" si="3"/>
        <v>1.172971139177615</v>
      </c>
      <c r="M26" s="167">
        <f t="shared" si="10"/>
        <v>678.75251161112124</v>
      </c>
      <c r="N26" s="167">
        <f t="shared" si="4"/>
        <v>76.020281300445575</v>
      </c>
      <c r="Y26" s="98"/>
      <c r="Z26" s="99"/>
      <c r="AA26" s="100"/>
    </row>
    <row r="27" spans="1:27" ht="18" customHeight="1" x14ac:dyDescent="0.25">
      <c r="A27" s="141" t="s">
        <v>78</v>
      </c>
      <c r="B27" s="142">
        <f>SUM(K6:K77)</f>
        <v>37957.659399999975</v>
      </c>
      <c r="C27" s="109"/>
      <c r="D27" s="166">
        <f t="shared" si="5"/>
        <v>44958</v>
      </c>
      <c r="E27" s="167">
        <f t="shared" si="6"/>
        <v>1302</v>
      </c>
      <c r="F27" s="167">
        <f t="shared" si="0"/>
        <v>520.80000000000007</v>
      </c>
      <c r="G27" s="167">
        <f t="shared" si="1"/>
        <v>0</v>
      </c>
      <c r="H27" s="167">
        <f t="shared" si="7"/>
        <v>57.860880000000002</v>
      </c>
      <c r="I27" s="167">
        <f t="shared" si="8"/>
        <v>578.66088000000002</v>
      </c>
      <c r="J27" s="168">
        <f t="shared" si="2"/>
        <v>0</v>
      </c>
      <c r="K27" s="167">
        <f t="shared" si="9"/>
        <v>578.66088000000002</v>
      </c>
      <c r="L27" s="169">
        <f t="shared" si="3"/>
        <v>1.1641237983104555</v>
      </c>
      <c r="M27" s="167">
        <f t="shared" si="10"/>
        <v>673.63290155927075</v>
      </c>
      <c r="N27" s="167">
        <f t="shared" si="4"/>
        <v>75.446884974638323</v>
      </c>
      <c r="Y27" s="98"/>
      <c r="Z27" s="99"/>
      <c r="AA27" s="100"/>
    </row>
    <row r="28" spans="1:27" ht="18" customHeight="1" x14ac:dyDescent="0.25">
      <c r="A28" s="130" t="s">
        <v>79</v>
      </c>
      <c r="B28" s="139">
        <f>M78</f>
        <v>44084.142068474932</v>
      </c>
      <c r="C28" s="109"/>
      <c r="D28" s="166">
        <f t="shared" si="5"/>
        <v>44986</v>
      </c>
      <c r="E28" s="167">
        <f t="shared" si="6"/>
        <v>1302</v>
      </c>
      <c r="F28" s="167">
        <f t="shared" si="0"/>
        <v>520.80000000000007</v>
      </c>
      <c r="G28" s="167">
        <f t="shared" si="1"/>
        <v>0</v>
      </c>
      <c r="H28" s="167">
        <f t="shared" si="7"/>
        <v>57.860880000000002</v>
      </c>
      <c r="I28" s="167">
        <f t="shared" si="8"/>
        <v>578.66088000000002</v>
      </c>
      <c r="J28" s="168">
        <f t="shared" si="2"/>
        <v>0</v>
      </c>
      <c r="K28" s="167">
        <f t="shared" si="9"/>
        <v>578.66088000000002</v>
      </c>
      <c r="L28" s="169">
        <f t="shared" si="3"/>
        <v>1.1561463882316572</v>
      </c>
      <c r="M28" s="167">
        <f t="shared" si="10"/>
        <v>669.01668642295238</v>
      </c>
      <c r="N28" s="167">
        <f t="shared" si="4"/>
        <v>74.929868879370673</v>
      </c>
      <c r="Y28" s="98"/>
      <c r="Z28" s="99"/>
      <c r="AA28" s="100"/>
    </row>
    <row r="29" spans="1:27" ht="18" customHeight="1" thickBot="1" x14ac:dyDescent="0.3">
      <c r="A29" s="130" t="s">
        <v>80</v>
      </c>
      <c r="B29" s="139">
        <f>N78</f>
        <v>4937.4239116691997</v>
      </c>
      <c r="C29" s="109"/>
      <c r="D29" s="166">
        <f t="shared" si="5"/>
        <v>45017</v>
      </c>
      <c r="E29" s="167">
        <f t="shared" si="6"/>
        <v>1302</v>
      </c>
      <c r="F29" s="167">
        <f t="shared" si="0"/>
        <v>520.80000000000007</v>
      </c>
      <c r="G29" s="167">
        <f t="shared" si="1"/>
        <v>0</v>
      </c>
      <c r="H29" s="167">
        <f t="shared" si="7"/>
        <v>57.860880000000002</v>
      </c>
      <c r="I29" s="167">
        <f t="shared" si="8"/>
        <v>578.66088000000002</v>
      </c>
      <c r="J29" s="168">
        <f t="shared" si="2"/>
        <v>0</v>
      </c>
      <c r="K29" s="167">
        <f t="shared" si="9"/>
        <v>578.66088000000002</v>
      </c>
      <c r="L29" s="169">
        <f t="shared" si="3"/>
        <v>1.1495937041181834</v>
      </c>
      <c r="M29" s="167">
        <f t="shared" si="10"/>
        <v>665.2249044674877</v>
      </c>
      <c r="N29" s="167">
        <f t="shared" si="4"/>
        <v>74.505189300358623</v>
      </c>
      <c r="Y29" s="98"/>
      <c r="Z29" s="99"/>
      <c r="AA29" s="100"/>
    </row>
    <row r="30" spans="1:27" ht="18" customHeight="1" thickBot="1" x14ac:dyDescent="0.3">
      <c r="A30" s="143" t="s">
        <v>81</v>
      </c>
      <c r="B30" s="144">
        <f>N81</f>
        <v>49021.565980144129</v>
      </c>
      <c r="C30" s="109"/>
      <c r="D30" s="166">
        <f t="shared" si="5"/>
        <v>45047</v>
      </c>
      <c r="E30" s="167">
        <f t="shared" si="6"/>
        <v>1320</v>
      </c>
      <c r="F30" s="167">
        <f t="shared" si="0"/>
        <v>528</v>
      </c>
      <c r="G30" s="167">
        <f t="shared" si="1"/>
        <v>0</v>
      </c>
      <c r="H30" s="167">
        <f t="shared" si="7"/>
        <v>58.660799999999995</v>
      </c>
      <c r="I30" s="167">
        <f t="shared" si="8"/>
        <v>586.66079999999999</v>
      </c>
      <c r="J30" s="168">
        <f t="shared" si="2"/>
        <v>0</v>
      </c>
      <c r="K30" s="167">
        <f t="shared" si="9"/>
        <v>586.66079999999999</v>
      </c>
      <c r="L30" s="169">
        <f t="shared" si="3"/>
        <v>1.1437605254384473</v>
      </c>
      <c r="M30" s="167">
        <f t="shared" si="10"/>
        <v>670.9994648621398</v>
      </c>
      <c r="N30" s="167">
        <f t="shared" si="4"/>
        <v>75.151940064559653</v>
      </c>
      <c r="Y30" s="98"/>
      <c r="Z30" s="99"/>
      <c r="AA30" s="100"/>
    </row>
    <row r="31" spans="1:27" ht="18" customHeight="1" x14ac:dyDescent="0.25">
      <c r="B31" s="112"/>
      <c r="C31" s="109"/>
      <c r="D31" s="166">
        <f t="shared" si="5"/>
        <v>45078</v>
      </c>
      <c r="E31" s="167">
        <f t="shared" si="6"/>
        <v>1320</v>
      </c>
      <c r="F31" s="167">
        <f t="shared" si="0"/>
        <v>528</v>
      </c>
      <c r="G31" s="167">
        <f t="shared" si="1"/>
        <v>0</v>
      </c>
      <c r="H31" s="167">
        <f t="shared" si="7"/>
        <v>58.660799999999995</v>
      </c>
      <c r="I31" s="167">
        <f t="shared" si="8"/>
        <v>586.66079999999999</v>
      </c>
      <c r="J31" s="168">
        <f t="shared" si="2"/>
        <v>0</v>
      </c>
      <c r="K31" s="167">
        <f t="shared" si="9"/>
        <v>586.66079999999999</v>
      </c>
      <c r="L31" s="169">
        <f t="shared" si="3"/>
        <v>1.1433032041567845</v>
      </c>
      <c r="M31" s="167">
        <f t="shared" si="10"/>
        <v>670.73117239318253</v>
      </c>
      <c r="N31" s="167">
        <f t="shared" si="4"/>
        <v>75.121891308036439</v>
      </c>
      <c r="Y31" s="98"/>
      <c r="Z31" s="99"/>
      <c r="AA31" s="100"/>
    </row>
    <row r="32" spans="1:27" ht="18" customHeight="1" x14ac:dyDescent="0.25">
      <c r="B32" s="112"/>
      <c r="C32" s="109"/>
      <c r="D32" s="166">
        <f t="shared" si="5"/>
        <v>45108</v>
      </c>
      <c r="E32" s="167">
        <f t="shared" si="6"/>
        <v>1320</v>
      </c>
      <c r="F32" s="167">
        <f t="shared" si="0"/>
        <v>528</v>
      </c>
      <c r="G32" s="167">
        <f t="shared" si="1"/>
        <v>0</v>
      </c>
      <c r="H32" s="167">
        <f t="shared" si="7"/>
        <v>58.660799999999995</v>
      </c>
      <c r="I32" s="167">
        <f t="shared" si="8"/>
        <v>586.66079999999999</v>
      </c>
      <c r="J32" s="168">
        <f t="shared" si="2"/>
        <v>0</v>
      </c>
      <c r="K32" s="167">
        <f t="shared" si="9"/>
        <v>586.66079999999999</v>
      </c>
      <c r="L32" s="169">
        <f t="shared" si="3"/>
        <v>1.1441040770106921</v>
      </c>
      <c r="M32" s="167">
        <f t="shared" si="10"/>
        <v>671.20101310235418</v>
      </c>
      <c r="N32" s="167">
        <f t="shared" si="4"/>
        <v>75.174513467463669</v>
      </c>
      <c r="Y32" s="98"/>
      <c r="Z32" s="99"/>
      <c r="AA32" s="100"/>
    </row>
    <row r="33" spans="2:27" ht="18" customHeight="1" x14ac:dyDescent="0.25">
      <c r="B33" s="112"/>
      <c r="C33" s="109"/>
      <c r="D33" s="166">
        <f t="shared" si="5"/>
        <v>45139</v>
      </c>
      <c r="E33" s="167">
        <f t="shared" si="6"/>
        <v>1320</v>
      </c>
      <c r="F33" s="167">
        <f t="shared" si="0"/>
        <v>528</v>
      </c>
      <c r="G33" s="167">
        <f t="shared" si="1"/>
        <v>0</v>
      </c>
      <c r="H33" s="167">
        <f t="shared" si="7"/>
        <v>58.660799999999995</v>
      </c>
      <c r="I33" s="167">
        <f t="shared" si="8"/>
        <v>586.66079999999999</v>
      </c>
      <c r="J33" s="168">
        <f t="shared" si="2"/>
        <v>0</v>
      </c>
      <c r="K33" s="167">
        <f t="shared" si="9"/>
        <v>586.66079999999999</v>
      </c>
      <c r="L33" s="169">
        <f t="shared" si="3"/>
        <v>1.1409095303257799</v>
      </c>
      <c r="M33" s="167">
        <f t="shared" si="10"/>
        <v>669.32689778854626</v>
      </c>
      <c r="N33" s="167">
        <f t="shared" si="4"/>
        <v>74.964612552317178</v>
      </c>
      <c r="Y33" s="98"/>
      <c r="Z33" s="99"/>
      <c r="AA33" s="100"/>
    </row>
    <row r="34" spans="2:27" ht="18" customHeight="1" x14ac:dyDescent="0.25">
      <c r="B34" s="112"/>
      <c r="C34" s="109"/>
      <c r="D34" s="166">
        <f t="shared" si="5"/>
        <v>45170</v>
      </c>
      <c r="E34" s="167">
        <f t="shared" si="6"/>
        <v>1320</v>
      </c>
      <c r="F34" s="167">
        <f t="shared" si="0"/>
        <v>528</v>
      </c>
      <c r="G34" s="167">
        <f t="shared" si="1"/>
        <v>0</v>
      </c>
      <c r="H34" s="167">
        <f t="shared" si="7"/>
        <v>58.660799999999995</v>
      </c>
      <c r="I34" s="167">
        <f t="shared" si="8"/>
        <v>586.66079999999999</v>
      </c>
      <c r="J34" s="168">
        <f t="shared" si="2"/>
        <v>0</v>
      </c>
      <c r="K34" s="167">
        <f t="shared" si="9"/>
        <v>586.66079999999999</v>
      </c>
      <c r="L34" s="169">
        <f t="shared" si="3"/>
        <v>1.1369302743655005</v>
      </c>
      <c r="M34" s="167">
        <f t="shared" si="10"/>
        <v>666.99242430348409</v>
      </c>
      <c r="N34" s="167">
        <f t="shared" si="4"/>
        <v>74.703151521990222</v>
      </c>
      <c r="Y34" s="98"/>
      <c r="Z34" s="99"/>
      <c r="AA34" s="100"/>
    </row>
    <row r="35" spans="2:27" ht="18" customHeight="1" x14ac:dyDescent="0.25">
      <c r="B35" s="112"/>
      <c r="C35" s="109"/>
      <c r="D35" s="166">
        <f t="shared" si="5"/>
        <v>45200</v>
      </c>
      <c r="E35" s="167">
        <f t="shared" si="6"/>
        <v>1320</v>
      </c>
      <c r="F35" s="167">
        <f t="shared" si="0"/>
        <v>528</v>
      </c>
      <c r="G35" s="167">
        <f t="shared" si="1"/>
        <v>0</v>
      </c>
      <c r="H35" s="167">
        <f t="shared" si="7"/>
        <v>58.660799999999995</v>
      </c>
      <c r="I35" s="167">
        <f t="shared" si="8"/>
        <v>586.66079999999999</v>
      </c>
      <c r="J35" s="168">
        <f t="shared" si="2"/>
        <v>0</v>
      </c>
      <c r="K35" s="167">
        <f t="shared" si="9"/>
        <v>586.66079999999999</v>
      </c>
      <c r="L35" s="169">
        <f t="shared" si="3"/>
        <v>1.1345477241447965</v>
      </c>
      <c r="M35" s="167">
        <f t="shared" si="10"/>
        <v>665.59467548496571</v>
      </c>
      <c r="N35" s="167">
        <f t="shared" si="4"/>
        <v>74.546603654316158</v>
      </c>
      <c r="Y35" s="98"/>
      <c r="Z35" s="99"/>
      <c r="AA35" s="100"/>
    </row>
    <row r="36" spans="2:27" ht="18" customHeight="1" x14ac:dyDescent="0.25">
      <c r="B36" s="112"/>
      <c r="C36" s="109"/>
      <c r="D36" s="166">
        <f t="shared" si="5"/>
        <v>45231</v>
      </c>
      <c r="E36" s="167">
        <f t="shared" si="6"/>
        <v>1320</v>
      </c>
      <c r="F36" s="167">
        <f t="shared" si="0"/>
        <v>528</v>
      </c>
      <c r="G36" s="167">
        <f t="shared" si="1"/>
        <v>0</v>
      </c>
      <c r="H36" s="167">
        <f t="shared" si="7"/>
        <v>58.660799999999995</v>
      </c>
      <c r="I36" s="167">
        <f t="shared" si="8"/>
        <v>586.66079999999999</v>
      </c>
      <c r="J36" s="168">
        <f t="shared" si="2"/>
        <v>0</v>
      </c>
      <c r="K36" s="167">
        <f t="shared" si="9"/>
        <v>586.66079999999999</v>
      </c>
      <c r="L36" s="169">
        <f t="shared" si="3"/>
        <v>1.1308160312416988</v>
      </c>
      <c r="M36" s="167">
        <f t="shared" si="10"/>
        <v>663.40543754108</v>
      </c>
      <c r="N36" s="167">
        <f t="shared" si="4"/>
        <v>74.301409004600956</v>
      </c>
      <c r="Y36" s="98"/>
      <c r="Z36" s="99"/>
      <c r="AA36" s="100"/>
    </row>
    <row r="37" spans="2:27" ht="18" customHeight="1" x14ac:dyDescent="0.25">
      <c r="B37" s="112"/>
      <c r="C37" s="109"/>
      <c r="D37" s="166">
        <f t="shared" si="5"/>
        <v>45261</v>
      </c>
      <c r="E37" s="167">
        <f t="shared" si="6"/>
        <v>1320</v>
      </c>
      <c r="F37" s="167">
        <f t="shared" si="0"/>
        <v>528</v>
      </c>
      <c r="G37" s="167">
        <f t="shared" si="1"/>
        <v>528</v>
      </c>
      <c r="H37" s="167">
        <f t="shared" si="7"/>
        <v>58.660799999999995</v>
      </c>
      <c r="I37" s="167">
        <f t="shared" si="8"/>
        <v>1114.6608000000001</v>
      </c>
      <c r="J37" s="168">
        <f t="shared" si="2"/>
        <v>0</v>
      </c>
      <c r="K37" s="167">
        <f t="shared" si="9"/>
        <v>1114.6608000000001</v>
      </c>
      <c r="L37" s="169">
        <f t="shared" si="3"/>
        <v>1.1263107880893415</v>
      </c>
      <c r="M37" s="167">
        <f t="shared" si="10"/>
        <v>1255.454484100296</v>
      </c>
      <c r="N37" s="167">
        <f t="shared" si="4"/>
        <v>140.61090221923314</v>
      </c>
      <c r="Y37" s="98"/>
      <c r="Z37" s="99"/>
      <c r="AA37" s="100"/>
    </row>
    <row r="38" spans="2:27" ht="18" customHeight="1" x14ac:dyDescent="0.25">
      <c r="B38" s="112"/>
      <c r="C38" s="109"/>
      <c r="D38" s="166">
        <f t="shared" si="5"/>
        <v>45292</v>
      </c>
      <c r="E38" s="167">
        <f t="shared" si="6"/>
        <v>1412</v>
      </c>
      <c r="F38" s="167">
        <f t="shared" ref="F38:F69" si="11">IF(D38="","",IFERROR(E38*ad_insalubre,0))</f>
        <v>564.80000000000007</v>
      </c>
      <c r="G38" s="167">
        <f t="shared" ref="G38:G69" si="12">IF(D38="","",IF(MONTH(D38)=12,F38,IF(AND(YEAR(D38)=YEAR(dispensa),MONTH(D38)=MONTH(dispensa)),F38*MONTH(dispensa)/12,0)))</f>
        <v>0</v>
      </c>
      <c r="H38" s="167">
        <f t="shared" si="7"/>
        <v>62.749279999999999</v>
      </c>
      <c r="I38" s="167">
        <f t="shared" si="8"/>
        <v>627.54928000000007</v>
      </c>
      <c r="J38" s="168">
        <f t="shared" ref="J38:J69" si="13">IF(D38="","",IFERROR(E38*insalubre_pg,0))</f>
        <v>0</v>
      </c>
      <c r="K38" s="167">
        <f t="shared" si="9"/>
        <v>627.54928000000007</v>
      </c>
      <c r="L38" s="169">
        <f t="shared" ref="L38:L69" si="14">IF(D38="","",LOOKUP(D38,ms,índice_tst))</f>
        <v>1.1263107880893415</v>
      </c>
      <c r="M38" s="167">
        <f t="shared" si="10"/>
        <v>706.8155241216989</v>
      </c>
      <c r="N38" s="167">
        <f t="shared" ref="N38:N69" si="15">IF(D38="","",M38*FGTS_perc)</f>
        <v>79.163338701630281</v>
      </c>
      <c r="Y38" s="98"/>
      <c r="Z38" s="99"/>
      <c r="AA38" s="100"/>
    </row>
    <row r="39" spans="2:27" ht="18" customHeight="1" x14ac:dyDescent="0.25">
      <c r="B39" s="112"/>
      <c r="C39" s="109"/>
      <c r="D39" s="166">
        <f t="shared" ref="D39:D77" si="16">IF(D38="","",IF(EDATE(D38,1)&gt;dispensa,"",EDATE(D38,1)))</f>
        <v>45323</v>
      </c>
      <c r="E39" s="167">
        <f t="shared" ref="E39:E77" si="17">IF(D39="","",IFERROR(VLOOKUP(D39,tabela_minimo,3,0),"-"))</f>
        <v>1412</v>
      </c>
      <c r="F39" s="167">
        <f t="shared" si="11"/>
        <v>564.80000000000007</v>
      </c>
      <c r="G39" s="167">
        <f t="shared" si="12"/>
        <v>0</v>
      </c>
      <c r="H39" s="167">
        <f t="shared" si="7"/>
        <v>62.749279999999999</v>
      </c>
      <c r="I39" s="167">
        <f t="shared" si="8"/>
        <v>627.54928000000007</v>
      </c>
      <c r="J39" s="168">
        <f t="shared" si="13"/>
        <v>0</v>
      </c>
      <c r="K39" s="167">
        <f t="shared" si="9"/>
        <v>627.54928000000007</v>
      </c>
      <c r="L39" s="169">
        <f t="shared" si="14"/>
        <v>1.1263107880893415</v>
      </c>
      <c r="M39" s="167">
        <f t="shared" si="10"/>
        <v>706.8155241216989</v>
      </c>
      <c r="N39" s="167">
        <f t="shared" si="15"/>
        <v>79.163338701630281</v>
      </c>
      <c r="Y39" s="98"/>
      <c r="Z39" s="99"/>
      <c r="AA39" s="100"/>
    </row>
    <row r="40" spans="2:27" ht="18" customHeight="1" x14ac:dyDescent="0.25">
      <c r="B40" s="112"/>
      <c r="C40" s="109"/>
      <c r="D40" s="166">
        <f t="shared" si="16"/>
        <v>45352</v>
      </c>
      <c r="E40" s="167">
        <f t="shared" si="17"/>
        <v>1412</v>
      </c>
      <c r="F40" s="167">
        <f t="shared" si="11"/>
        <v>564.80000000000007</v>
      </c>
      <c r="G40" s="167">
        <f t="shared" si="12"/>
        <v>0</v>
      </c>
      <c r="H40" s="167">
        <f t="shared" si="7"/>
        <v>62.749279999999999</v>
      </c>
      <c r="I40" s="167">
        <f t="shared" si="8"/>
        <v>627.54928000000007</v>
      </c>
      <c r="J40" s="168">
        <f t="shared" si="13"/>
        <v>0</v>
      </c>
      <c r="K40" s="167">
        <f t="shared" si="9"/>
        <v>627.54928000000007</v>
      </c>
      <c r="L40" s="169">
        <f t="shared" si="14"/>
        <v>1.1263107880893415</v>
      </c>
      <c r="M40" s="167">
        <f t="shared" si="10"/>
        <v>706.8155241216989</v>
      </c>
      <c r="N40" s="167">
        <f t="shared" si="15"/>
        <v>79.163338701630281</v>
      </c>
      <c r="Y40" s="98"/>
      <c r="Z40" s="99"/>
      <c r="AA40" s="100"/>
    </row>
    <row r="41" spans="2:27" ht="18" customHeight="1" x14ac:dyDescent="0.25">
      <c r="B41" s="112"/>
      <c r="C41" s="109"/>
      <c r="D41" s="166">
        <f t="shared" si="16"/>
        <v>45383</v>
      </c>
      <c r="E41" s="167">
        <f t="shared" si="17"/>
        <v>1412</v>
      </c>
      <c r="F41" s="167">
        <f t="shared" si="11"/>
        <v>564.80000000000007</v>
      </c>
      <c r="G41" s="167">
        <f t="shared" si="12"/>
        <v>0</v>
      </c>
      <c r="H41" s="167">
        <f t="shared" si="7"/>
        <v>62.749279999999999</v>
      </c>
      <c r="I41" s="167">
        <f t="shared" si="8"/>
        <v>627.54928000000007</v>
      </c>
      <c r="J41" s="168">
        <f t="shared" si="13"/>
        <v>0</v>
      </c>
      <c r="K41" s="167">
        <f t="shared" si="9"/>
        <v>627.54928000000007</v>
      </c>
      <c r="L41" s="169">
        <f t="shared" si="14"/>
        <v>1.1263107880893415</v>
      </c>
      <c r="M41" s="167">
        <f t="shared" si="10"/>
        <v>706.8155241216989</v>
      </c>
      <c r="N41" s="167">
        <f t="shared" si="15"/>
        <v>79.163338701630281</v>
      </c>
      <c r="Y41" s="98"/>
      <c r="Z41" s="99"/>
      <c r="AA41" s="100"/>
    </row>
    <row r="42" spans="2:27" ht="18" customHeight="1" x14ac:dyDescent="0.25">
      <c r="B42" s="112"/>
      <c r="C42" s="109"/>
      <c r="D42" s="166">
        <f t="shared" si="16"/>
        <v>45413</v>
      </c>
      <c r="E42" s="167">
        <f t="shared" si="17"/>
        <v>1412</v>
      </c>
      <c r="F42" s="167">
        <f t="shared" si="11"/>
        <v>564.80000000000007</v>
      </c>
      <c r="G42" s="167">
        <f t="shared" si="12"/>
        <v>0</v>
      </c>
      <c r="H42" s="167">
        <f t="shared" si="7"/>
        <v>62.749279999999999</v>
      </c>
      <c r="I42" s="167">
        <f t="shared" si="8"/>
        <v>627.54928000000007</v>
      </c>
      <c r="J42" s="168">
        <f t="shared" si="13"/>
        <v>0</v>
      </c>
      <c r="K42" s="167">
        <f t="shared" si="9"/>
        <v>627.54928000000007</v>
      </c>
      <c r="L42" s="169">
        <f t="shared" si="14"/>
        <v>1.1263107880893415</v>
      </c>
      <c r="M42" s="167">
        <f t="shared" si="10"/>
        <v>706.8155241216989</v>
      </c>
      <c r="N42" s="167">
        <f t="shared" si="15"/>
        <v>79.163338701630281</v>
      </c>
      <c r="Y42" s="98"/>
      <c r="Z42" s="99"/>
      <c r="AA42" s="100"/>
    </row>
    <row r="43" spans="2:27" ht="18" customHeight="1" x14ac:dyDescent="0.25">
      <c r="B43" s="112"/>
      <c r="C43" s="109"/>
      <c r="D43" s="166">
        <f t="shared" si="16"/>
        <v>45444</v>
      </c>
      <c r="E43" s="167">
        <f t="shared" si="17"/>
        <v>1412</v>
      </c>
      <c r="F43" s="167">
        <f t="shared" si="11"/>
        <v>564.80000000000007</v>
      </c>
      <c r="G43" s="167">
        <f t="shared" si="12"/>
        <v>0</v>
      </c>
      <c r="H43" s="167">
        <f t="shared" si="7"/>
        <v>62.749279999999999</v>
      </c>
      <c r="I43" s="167">
        <f t="shared" si="8"/>
        <v>627.54928000000007</v>
      </c>
      <c r="J43" s="168">
        <f t="shared" si="13"/>
        <v>0</v>
      </c>
      <c r="K43" s="167">
        <f t="shared" si="9"/>
        <v>627.54928000000007</v>
      </c>
      <c r="L43" s="169">
        <f t="shared" si="14"/>
        <v>1.1263107880893415</v>
      </c>
      <c r="M43" s="167">
        <f t="shared" si="10"/>
        <v>706.8155241216989</v>
      </c>
      <c r="N43" s="167">
        <f t="shared" si="15"/>
        <v>79.163338701630281</v>
      </c>
      <c r="Y43" s="98"/>
      <c r="Z43" s="99"/>
      <c r="AA43" s="100"/>
    </row>
    <row r="44" spans="2:27" ht="18" customHeight="1" x14ac:dyDescent="0.25">
      <c r="B44" s="112"/>
      <c r="C44" s="109"/>
      <c r="D44" s="166">
        <f t="shared" si="16"/>
        <v>45474</v>
      </c>
      <c r="E44" s="167">
        <f t="shared" si="17"/>
        <v>1412</v>
      </c>
      <c r="F44" s="167">
        <f t="shared" si="11"/>
        <v>564.80000000000007</v>
      </c>
      <c r="G44" s="167">
        <f t="shared" si="12"/>
        <v>0</v>
      </c>
      <c r="H44" s="167">
        <f t="shared" si="7"/>
        <v>62.749279999999999</v>
      </c>
      <c r="I44" s="167">
        <f t="shared" si="8"/>
        <v>627.54928000000007</v>
      </c>
      <c r="J44" s="168">
        <f t="shared" si="13"/>
        <v>0</v>
      </c>
      <c r="K44" s="167">
        <f t="shared" si="9"/>
        <v>627.54928000000007</v>
      </c>
      <c r="L44" s="169">
        <f t="shared" si="14"/>
        <v>1.1263107880893415</v>
      </c>
      <c r="M44" s="167">
        <f t="shared" si="10"/>
        <v>706.8155241216989</v>
      </c>
      <c r="N44" s="167">
        <f t="shared" si="15"/>
        <v>79.163338701630281</v>
      </c>
      <c r="Y44" s="98"/>
      <c r="Z44" s="99"/>
      <c r="AA44" s="100"/>
    </row>
    <row r="45" spans="2:27" ht="18" customHeight="1" x14ac:dyDescent="0.25">
      <c r="B45" s="112"/>
      <c r="C45" s="109"/>
      <c r="D45" s="166">
        <f t="shared" si="16"/>
        <v>45505</v>
      </c>
      <c r="E45" s="167">
        <f t="shared" si="17"/>
        <v>1412</v>
      </c>
      <c r="F45" s="167">
        <f t="shared" si="11"/>
        <v>564.80000000000007</v>
      </c>
      <c r="G45" s="167">
        <f t="shared" si="12"/>
        <v>0</v>
      </c>
      <c r="H45" s="167">
        <f t="shared" si="7"/>
        <v>62.749279999999999</v>
      </c>
      <c r="I45" s="167">
        <f t="shared" si="8"/>
        <v>627.54928000000007</v>
      </c>
      <c r="J45" s="168">
        <f t="shared" si="13"/>
        <v>0</v>
      </c>
      <c r="K45" s="167">
        <f t="shared" si="9"/>
        <v>627.54928000000007</v>
      </c>
      <c r="L45" s="169">
        <f t="shared" si="14"/>
        <v>1.1263107880893415</v>
      </c>
      <c r="M45" s="167">
        <f t="shared" si="10"/>
        <v>706.8155241216989</v>
      </c>
      <c r="N45" s="167">
        <f t="shared" si="15"/>
        <v>79.163338701630281</v>
      </c>
      <c r="Y45" s="98"/>
      <c r="Z45" s="99"/>
      <c r="AA45" s="100"/>
    </row>
    <row r="46" spans="2:27" ht="18" customHeight="1" x14ac:dyDescent="0.25">
      <c r="B46" s="112"/>
      <c r="C46" s="109"/>
      <c r="D46" s="166">
        <f t="shared" si="16"/>
        <v>45536</v>
      </c>
      <c r="E46" s="167">
        <f t="shared" si="17"/>
        <v>1412</v>
      </c>
      <c r="F46" s="167">
        <f t="shared" si="11"/>
        <v>564.80000000000007</v>
      </c>
      <c r="G46" s="167">
        <f t="shared" si="12"/>
        <v>0</v>
      </c>
      <c r="H46" s="167">
        <f t="shared" si="7"/>
        <v>62.749279999999999</v>
      </c>
      <c r="I46" s="167">
        <f t="shared" si="8"/>
        <v>627.54928000000007</v>
      </c>
      <c r="J46" s="168">
        <f t="shared" si="13"/>
        <v>0</v>
      </c>
      <c r="K46" s="167">
        <f t="shared" si="9"/>
        <v>627.54928000000007</v>
      </c>
      <c r="L46" s="169">
        <f t="shared" si="14"/>
        <v>1.1263107880893415</v>
      </c>
      <c r="M46" s="167">
        <f t="shared" si="10"/>
        <v>706.8155241216989</v>
      </c>
      <c r="N46" s="167">
        <f t="shared" si="15"/>
        <v>79.163338701630281</v>
      </c>
      <c r="Y46" s="98"/>
      <c r="Z46" s="99"/>
      <c r="AA46" s="100"/>
    </row>
    <row r="47" spans="2:27" ht="18" customHeight="1" x14ac:dyDescent="0.25">
      <c r="B47" s="112"/>
      <c r="C47" s="109"/>
      <c r="D47" s="166">
        <f t="shared" si="16"/>
        <v>45566</v>
      </c>
      <c r="E47" s="167">
        <f t="shared" si="17"/>
        <v>1412</v>
      </c>
      <c r="F47" s="167">
        <f t="shared" si="11"/>
        <v>564.80000000000007</v>
      </c>
      <c r="G47" s="167">
        <f t="shared" si="12"/>
        <v>0</v>
      </c>
      <c r="H47" s="167">
        <f t="shared" si="7"/>
        <v>62.749279999999999</v>
      </c>
      <c r="I47" s="167">
        <f t="shared" si="8"/>
        <v>627.54928000000007</v>
      </c>
      <c r="J47" s="168">
        <f t="shared" si="13"/>
        <v>0</v>
      </c>
      <c r="K47" s="167">
        <f t="shared" si="9"/>
        <v>627.54928000000007</v>
      </c>
      <c r="L47" s="169">
        <f t="shared" si="14"/>
        <v>1.1263107880893415</v>
      </c>
      <c r="M47" s="167">
        <f t="shared" si="10"/>
        <v>706.8155241216989</v>
      </c>
      <c r="N47" s="167">
        <f t="shared" si="15"/>
        <v>79.163338701630281</v>
      </c>
      <c r="Y47" s="98"/>
      <c r="Z47" s="99"/>
      <c r="AA47" s="100"/>
    </row>
    <row r="48" spans="2:27" ht="18" customHeight="1" x14ac:dyDescent="0.25">
      <c r="B48" s="112"/>
      <c r="C48" s="109"/>
      <c r="D48" s="166">
        <f t="shared" si="16"/>
        <v>45597</v>
      </c>
      <c r="E48" s="167">
        <f t="shared" si="17"/>
        <v>1412</v>
      </c>
      <c r="F48" s="167">
        <f t="shared" si="11"/>
        <v>564.80000000000007</v>
      </c>
      <c r="G48" s="167">
        <f t="shared" si="12"/>
        <v>0</v>
      </c>
      <c r="H48" s="167">
        <f t="shared" si="7"/>
        <v>62.749279999999999</v>
      </c>
      <c r="I48" s="167">
        <f t="shared" si="8"/>
        <v>627.54928000000007</v>
      </c>
      <c r="J48" s="168">
        <f t="shared" si="13"/>
        <v>0</v>
      </c>
      <c r="K48" s="167">
        <f t="shared" si="9"/>
        <v>627.54928000000007</v>
      </c>
      <c r="L48" s="169">
        <f t="shared" si="14"/>
        <v>1.1263107880893415</v>
      </c>
      <c r="M48" s="167">
        <f t="shared" si="10"/>
        <v>706.8155241216989</v>
      </c>
      <c r="N48" s="167">
        <f t="shared" si="15"/>
        <v>79.163338701630281</v>
      </c>
      <c r="Y48" s="98"/>
      <c r="Z48" s="99"/>
      <c r="AA48" s="100"/>
    </row>
    <row r="49" spans="2:27" ht="18" customHeight="1" x14ac:dyDescent="0.25">
      <c r="B49" s="112"/>
      <c r="C49" s="109"/>
      <c r="D49" s="166">
        <f t="shared" si="16"/>
        <v>45627</v>
      </c>
      <c r="E49" s="167">
        <f t="shared" si="17"/>
        <v>1412</v>
      </c>
      <c r="F49" s="167">
        <f t="shared" si="11"/>
        <v>564.80000000000007</v>
      </c>
      <c r="G49" s="167">
        <f t="shared" si="12"/>
        <v>564.80000000000007</v>
      </c>
      <c r="H49" s="167">
        <f t="shared" si="7"/>
        <v>62.749279999999999</v>
      </c>
      <c r="I49" s="167">
        <f t="shared" si="8"/>
        <v>1192.3492800000001</v>
      </c>
      <c r="J49" s="168">
        <f t="shared" si="13"/>
        <v>0</v>
      </c>
      <c r="K49" s="167">
        <f t="shared" si="9"/>
        <v>1192.3492800000001</v>
      </c>
      <c r="L49" s="169">
        <f t="shared" si="14"/>
        <v>1.1263107880893415</v>
      </c>
      <c r="M49" s="167">
        <f t="shared" si="10"/>
        <v>1342.9558572345591</v>
      </c>
      <c r="N49" s="167">
        <f t="shared" si="15"/>
        <v>150.41105601027061</v>
      </c>
      <c r="Y49" s="98"/>
      <c r="Z49" s="99"/>
      <c r="AA49" s="100"/>
    </row>
    <row r="50" spans="2:27" ht="18" customHeight="1" x14ac:dyDescent="0.25">
      <c r="B50" s="112"/>
      <c r="C50" s="109"/>
      <c r="D50" s="166">
        <f t="shared" si="16"/>
        <v>45658</v>
      </c>
      <c r="E50" s="167">
        <f t="shared" si="17"/>
        <v>1518</v>
      </c>
      <c r="F50" s="167">
        <f t="shared" si="11"/>
        <v>607.20000000000005</v>
      </c>
      <c r="G50" s="167">
        <f t="shared" si="12"/>
        <v>0</v>
      </c>
      <c r="H50" s="167">
        <f t="shared" si="7"/>
        <v>67.459919999999997</v>
      </c>
      <c r="I50" s="167">
        <f t="shared" si="8"/>
        <v>674.65992000000006</v>
      </c>
      <c r="J50" s="168">
        <f t="shared" si="13"/>
        <v>0</v>
      </c>
      <c r="K50" s="167">
        <f t="shared" si="9"/>
        <v>674.65992000000006</v>
      </c>
      <c r="L50" s="169">
        <f t="shared" si="14"/>
        <v>1.1263107880893415</v>
      </c>
      <c r="M50" s="167">
        <f t="shared" si="10"/>
        <v>759.87674618749213</v>
      </c>
      <c r="N50" s="167">
        <f t="shared" si="15"/>
        <v>85.106195572999127</v>
      </c>
      <c r="Y50" s="98"/>
      <c r="Z50" s="99"/>
      <c r="AA50" s="100"/>
    </row>
    <row r="51" spans="2:27" ht="18" customHeight="1" x14ac:dyDescent="0.25">
      <c r="B51" s="112"/>
      <c r="C51" s="109"/>
      <c r="D51" s="166">
        <f t="shared" si="16"/>
        <v>45689</v>
      </c>
      <c r="E51" s="167">
        <f t="shared" si="17"/>
        <v>1518</v>
      </c>
      <c r="F51" s="167">
        <f t="shared" si="11"/>
        <v>607.20000000000005</v>
      </c>
      <c r="G51" s="167">
        <f t="shared" si="12"/>
        <v>0</v>
      </c>
      <c r="H51" s="167">
        <f t="shared" si="7"/>
        <v>67.459919999999997</v>
      </c>
      <c r="I51" s="167">
        <f t="shared" si="8"/>
        <v>674.65992000000006</v>
      </c>
      <c r="J51" s="168">
        <f t="shared" si="13"/>
        <v>0</v>
      </c>
      <c r="K51" s="167">
        <f t="shared" si="9"/>
        <v>674.65992000000006</v>
      </c>
      <c r="L51" s="169">
        <f t="shared" si="14"/>
        <v>1.1263107880893415</v>
      </c>
      <c r="M51" s="167">
        <f t="shared" si="10"/>
        <v>759.87674618749213</v>
      </c>
      <c r="N51" s="167">
        <f t="shared" si="15"/>
        <v>85.106195572999127</v>
      </c>
      <c r="Y51" s="98"/>
      <c r="Z51" s="99"/>
      <c r="AA51" s="100"/>
    </row>
    <row r="52" spans="2:27" ht="18" customHeight="1" x14ac:dyDescent="0.25">
      <c r="B52" s="112"/>
      <c r="C52" s="109"/>
      <c r="D52" s="166">
        <f t="shared" si="16"/>
        <v>45717</v>
      </c>
      <c r="E52" s="167">
        <f t="shared" si="17"/>
        <v>1518</v>
      </c>
      <c r="F52" s="167">
        <f t="shared" si="11"/>
        <v>607.20000000000005</v>
      </c>
      <c r="G52" s="167">
        <f t="shared" si="12"/>
        <v>0</v>
      </c>
      <c r="H52" s="167">
        <f t="shared" si="7"/>
        <v>67.459919999999997</v>
      </c>
      <c r="I52" s="167">
        <f t="shared" si="8"/>
        <v>674.65992000000006</v>
      </c>
      <c r="J52" s="168">
        <f t="shared" si="13"/>
        <v>0</v>
      </c>
      <c r="K52" s="167">
        <f t="shared" si="9"/>
        <v>674.65992000000006</v>
      </c>
      <c r="L52" s="169">
        <f t="shared" si="14"/>
        <v>1.1263107880893415</v>
      </c>
      <c r="M52" s="167">
        <f t="shared" si="10"/>
        <v>759.87674618749213</v>
      </c>
      <c r="N52" s="167">
        <f t="shared" si="15"/>
        <v>85.106195572999127</v>
      </c>
      <c r="Y52" s="98"/>
      <c r="Z52" s="99"/>
      <c r="AA52" s="100"/>
    </row>
    <row r="53" spans="2:27" ht="18" customHeight="1" x14ac:dyDescent="0.25">
      <c r="B53" s="112"/>
      <c r="C53" s="109"/>
      <c r="D53" s="166">
        <f t="shared" si="16"/>
        <v>45748</v>
      </c>
      <c r="E53" s="167">
        <f t="shared" si="17"/>
        <v>1518</v>
      </c>
      <c r="F53" s="167">
        <f t="shared" si="11"/>
        <v>607.20000000000005</v>
      </c>
      <c r="G53" s="167">
        <f t="shared" si="12"/>
        <v>0</v>
      </c>
      <c r="H53" s="167">
        <f t="shared" si="7"/>
        <v>67.459919999999997</v>
      </c>
      <c r="I53" s="167">
        <f t="shared" si="8"/>
        <v>674.65992000000006</v>
      </c>
      <c r="J53" s="168">
        <f t="shared" si="13"/>
        <v>0</v>
      </c>
      <c r="K53" s="167">
        <f t="shared" si="9"/>
        <v>674.65992000000006</v>
      </c>
      <c r="L53" s="169">
        <f t="shared" si="14"/>
        <v>1.1263107880893415</v>
      </c>
      <c r="M53" s="167">
        <f t="shared" si="10"/>
        <v>759.87674618749213</v>
      </c>
      <c r="N53" s="167">
        <f t="shared" si="15"/>
        <v>85.106195572999127</v>
      </c>
      <c r="Y53" s="98"/>
      <c r="Z53" s="99"/>
      <c r="AA53" s="100"/>
    </row>
    <row r="54" spans="2:27" ht="18" customHeight="1" x14ac:dyDescent="0.25">
      <c r="B54" s="112"/>
      <c r="C54" s="109"/>
      <c r="D54" s="166">
        <f t="shared" si="16"/>
        <v>45778</v>
      </c>
      <c r="E54" s="167">
        <f t="shared" si="17"/>
        <v>1518</v>
      </c>
      <c r="F54" s="167">
        <f t="shared" si="11"/>
        <v>607.20000000000005</v>
      </c>
      <c r="G54" s="167">
        <f t="shared" si="12"/>
        <v>0</v>
      </c>
      <c r="H54" s="167">
        <f t="shared" si="7"/>
        <v>67.459919999999997</v>
      </c>
      <c r="I54" s="167">
        <f t="shared" si="8"/>
        <v>674.65992000000006</v>
      </c>
      <c r="J54" s="168">
        <f t="shared" si="13"/>
        <v>0</v>
      </c>
      <c r="K54" s="167">
        <f t="shared" si="9"/>
        <v>674.65992000000006</v>
      </c>
      <c r="L54" s="169">
        <f t="shared" si="14"/>
        <v>1.1263107880893415</v>
      </c>
      <c r="M54" s="167">
        <f t="shared" si="10"/>
        <v>759.87674618749213</v>
      </c>
      <c r="N54" s="167">
        <f t="shared" si="15"/>
        <v>85.106195572999127</v>
      </c>
      <c r="Y54" s="98"/>
      <c r="Z54" s="99"/>
      <c r="AA54" s="100"/>
    </row>
    <row r="55" spans="2:27" ht="18" customHeight="1" x14ac:dyDescent="0.25">
      <c r="B55" s="112"/>
      <c r="C55" s="109"/>
      <c r="D55" s="166">
        <f t="shared" si="16"/>
        <v>45809</v>
      </c>
      <c r="E55" s="167">
        <f t="shared" si="17"/>
        <v>1518</v>
      </c>
      <c r="F55" s="167">
        <f t="shared" si="11"/>
        <v>607.20000000000005</v>
      </c>
      <c r="G55" s="167">
        <f t="shared" si="12"/>
        <v>0</v>
      </c>
      <c r="H55" s="167">
        <f t="shared" si="7"/>
        <v>67.459919999999997</v>
      </c>
      <c r="I55" s="167">
        <f t="shared" si="8"/>
        <v>674.65992000000006</v>
      </c>
      <c r="J55" s="168">
        <f t="shared" si="13"/>
        <v>0</v>
      </c>
      <c r="K55" s="167">
        <f t="shared" si="9"/>
        <v>674.65992000000006</v>
      </c>
      <c r="L55" s="169">
        <f t="shared" si="14"/>
        <v>1.1263107880893415</v>
      </c>
      <c r="M55" s="167">
        <f t="shared" si="10"/>
        <v>759.87674618749213</v>
      </c>
      <c r="N55" s="167">
        <f t="shared" si="15"/>
        <v>85.106195572999127</v>
      </c>
      <c r="Y55" s="98"/>
      <c r="Z55" s="99"/>
      <c r="AA55" s="100"/>
    </row>
    <row r="56" spans="2:27" ht="18" customHeight="1" x14ac:dyDescent="0.25">
      <c r="B56" s="112"/>
      <c r="C56" s="109"/>
      <c r="D56" s="166">
        <f t="shared" si="16"/>
        <v>45839</v>
      </c>
      <c r="E56" s="167">
        <f t="shared" si="17"/>
        <v>1518</v>
      </c>
      <c r="F56" s="167">
        <f t="shared" si="11"/>
        <v>607.20000000000005</v>
      </c>
      <c r="G56" s="167">
        <f t="shared" si="12"/>
        <v>0</v>
      </c>
      <c r="H56" s="167">
        <f t="shared" si="7"/>
        <v>67.459919999999997</v>
      </c>
      <c r="I56" s="167">
        <f t="shared" si="8"/>
        <v>674.65992000000006</v>
      </c>
      <c r="J56" s="168">
        <f t="shared" si="13"/>
        <v>0</v>
      </c>
      <c r="K56" s="167">
        <f t="shared" si="9"/>
        <v>674.65992000000006</v>
      </c>
      <c r="L56" s="169">
        <f t="shared" si="14"/>
        <v>1.1263107880893415</v>
      </c>
      <c r="M56" s="167">
        <f t="shared" si="10"/>
        <v>759.87674618749213</v>
      </c>
      <c r="N56" s="167">
        <f t="shared" si="15"/>
        <v>85.106195572999127</v>
      </c>
      <c r="Y56" s="98"/>
      <c r="Z56" s="99"/>
      <c r="AA56" s="100"/>
    </row>
    <row r="57" spans="2:27" ht="18" customHeight="1" x14ac:dyDescent="0.25">
      <c r="B57" s="112"/>
      <c r="C57" s="109"/>
      <c r="D57" s="166">
        <f t="shared" si="16"/>
        <v>45870</v>
      </c>
      <c r="E57" s="167">
        <f t="shared" si="17"/>
        <v>1518</v>
      </c>
      <c r="F57" s="167">
        <f t="shared" si="11"/>
        <v>607.20000000000005</v>
      </c>
      <c r="G57" s="167">
        <f t="shared" si="12"/>
        <v>0</v>
      </c>
      <c r="H57" s="167">
        <f t="shared" si="7"/>
        <v>67.459919999999997</v>
      </c>
      <c r="I57" s="167">
        <f t="shared" si="8"/>
        <v>674.65992000000006</v>
      </c>
      <c r="J57" s="168">
        <f t="shared" si="13"/>
        <v>0</v>
      </c>
      <c r="K57" s="167">
        <f t="shared" si="9"/>
        <v>674.65992000000006</v>
      </c>
      <c r="L57" s="169">
        <f t="shared" si="14"/>
        <v>1.1263107880893415</v>
      </c>
      <c r="M57" s="167">
        <f t="shared" si="10"/>
        <v>759.87674618749213</v>
      </c>
      <c r="N57" s="167">
        <f t="shared" si="15"/>
        <v>85.106195572999127</v>
      </c>
      <c r="Y57" s="98"/>
      <c r="Z57" s="99"/>
      <c r="AA57" s="100"/>
    </row>
    <row r="58" spans="2:27" ht="18" customHeight="1" x14ac:dyDescent="0.25">
      <c r="B58" s="112"/>
      <c r="C58" s="109"/>
      <c r="D58" s="166">
        <f t="shared" si="16"/>
        <v>45901</v>
      </c>
      <c r="E58" s="167">
        <f t="shared" si="17"/>
        <v>1518</v>
      </c>
      <c r="F58" s="167">
        <f t="shared" si="11"/>
        <v>607.20000000000005</v>
      </c>
      <c r="G58" s="167">
        <f t="shared" si="12"/>
        <v>0</v>
      </c>
      <c r="H58" s="167">
        <f t="shared" si="7"/>
        <v>67.459919999999997</v>
      </c>
      <c r="I58" s="167">
        <f t="shared" si="8"/>
        <v>674.65992000000006</v>
      </c>
      <c r="J58" s="168">
        <f t="shared" si="13"/>
        <v>0</v>
      </c>
      <c r="K58" s="167">
        <f t="shared" si="9"/>
        <v>674.65992000000006</v>
      </c>
      <c r="L58" s="169">
        <f t="shared" si="14"/>
        <v>1.1263107880893415</v>
      </c>
      <c r="M58" s="167">
        <f t="shared" si="10"/>
        <v>759.87674618749213</v>
      </c>
      <c r="N58" s="167">
        <f t="shared" si="15"/>
        <v>85.106195572999127</v>
      </c>
      <c r="Y58" s="98"/>
      <c r="Z58" s="99"/>
      <c r="AA58" s="100"/>
    </row>
    <row r="59" spans="2:27" ht="18" customHeight="1" x14ac:dyDescent="0.25">
      <c r="B59" s="112"/>
      <c r="C59" s="109"/>
      <c r="D59" s="166">
        <f t="shared" si="16"/>
        <v>45931</v>
      </c>
      <c r="E59" s="167">
        <f t="shared" si="17"/>
        <v>1518</v>
      </c>
      <c r="F59" s="167">
        <f t="shared" si="11"/>
        <v>607.20000000000005</v>
      </c>
      <c r="G59" s="167">
        <f t="shared" si="12"/>
        <v>0</v>
      </c>
      <c r="H59" s="167">
        <f t="shared" si="7"/>
        <v>67.459919999999997</v>
      </c>
      <c r="I59" s="167">
        <f t="shared" si="8"/>
        <v>674.65992000000006</v>
      </c>
      <c r="J59" s="168">
        <f t="shared" si="13"/>
        <v>0</v>
      </c>
      <c r="K59" s="167">
        <f t="shared" si="9"/>
        <v>674.65992000000006</v>
      </c>
      <c r="L59" s="169">
        <f t="shared" si="14"/>
        <v>1.1263107880893415</v>
      </c>
      <c r="M59" s="167">
        <f t="shared" si="10"/>
        <v>759.87674618749213</v>
      </c>
      <c r="N59" s="167">
        <f t="shared" si="15"/>
        <v>85.106195572999127</v>
      </c>
      <c r="Y59" s="98"/>
      <c r="Z59" s="99"/>
      <c r="AA59" s="100"/>
    </row>
    <row r="60" spans="2:27" ht="18" customHeight="1" x14ac:dyDescent="0.25">
      <c r="B60" s="112"/>
      <c r="C60" s="109"/>
      <c r="D60" s="166">
        <f t="shared" si="16"/>
        <v>45962</v>
      </c>
      <c r="E60" s="167">
        <f t="shared" si="17"/>
        <v>1518</v>
      </c>
      <c r="F60" s="167">
        <f t="shared" si="11"/>
        <v>607.20000000000005</v>
      </c>
      <c r="G60" s="167">
        <f t="shared" si="12"/>
        <v>0</v>
      </c>
      <c r="H60" s="167">
        <f t="shared" si="7"/>
        <v>67.459919999999997</v>
      </c>
      <c r="I60" s="167">
        <f t="shared" si="8"/>
        <v>674.65992000000006</v>
      </c>
      <c r="J60" s="168">
        <f t="shared" si="13"/>
        <v>0</v>
      </c>
      <c r="K60" s="167">
        <f t="shared" si="9"/>
        <v>674.65992000000006</v>
      </c>
      <c r="L60" s="169">
        <f t="shared" si="14"/>
        <v>1.1263107880893415</v>
      </c>
      <c r="M60" s="167">
        <f t="shared" si="10"/>
        <v>759.87674618749213</v>
      </c>
      <c r="N60" s="167">
        <f t="shared" si="15"/>
        <v>85.106195572999127</v>
      </c>
      <c r="Y60" s="98"/>
      <c r="Z60" s="99"/>
      <c r="AA60" s="100"/>
    </row>
    <row r="61" spans="2:27" ht="18" customHeight="1" x14ac:dyDescent="0.25">
      <c r="B61" s="112"/>
      <c r="C61" s="109"/>
      <c r="D61" s="166">
        <f t="shared" si="16"/>
        <v>45992</v>
      </c>
      <c r="E61" s="167">
        <f t="shared" si="17"/>
        <v>1518</v>
      </c>
      <c r="F61" s="167">
        <f t="shared" si="11"/>
        <v>607.20000000000005</v>
      </c>
      <c r="G61" s="167">
        <f t="shared" si="12"/>
        <v>607.20000000000005</v>
      </c>
      <c r="H61" s="167">
        <f t="shared" si="7"/>
        <v>67.459919999999997</v>
      </c>
      <c r="I61" s="167">
        <f t="shared" si="8"/>
        <v>1281.8599200000001</v>
      </c>
      <c r="J61" s="168">
        <f t="shared" si="13"/>
        <v>0</v>
      </c>
      <c r="K61" s="167">
        <f t="shared" si="9"/>
        <v>1281.8599200000001</v>
      </c>
      <c r="L61" s="169">
        <f t="shared" si="14"/>
        <v>1.1263107880893415</v>
      </c>
      <c r="M61" s="167">
        <f t="shared" si="10"/>
        <v>1443.7726567153404</v>
      </c>
      <c r="N61" s="167">
        <f t="shared" si="15"/>
        <v>161.70253755211812</v>
      </c>
      <c r="Y61" s="98"/>
      <c r="Z61" s="99"/>
      <c r="AA61" s="100"/>
    </row>
    <row r="62" spans="2:27" ht="18" customHeight="1" x14ac:dyDescent="0.25">
      <c r="B62" s="112"/>
      <c r="C62" s="109"/>
      <c r="D62" s="166">
        <f t="shared" si="16"/>
        <v>46023</v>
      </c>
      <c r="E62" s="167">
        <f t="shared" si="17"/>
        <v>1621</v>
      </c>
      <c r="F62" s="167">
        <f t="shared" si="11"/>
        <v>648.40000000000009</v>
      </c>
      <c r="G62" s="167">
        <f t="shared" si="12"/>
        <v>0</v>
      </c>
      <c r="H62" s="167">
        <f t="shared" si="7"/>
        <v>72.037239999999997</v>
      </c>
      <c r="I62" s="167">
        <f t="shared" si="8"/>
        <v>720.43724000000009</v>
      </c>
      <c r="J62" s="168">
        <f t="shared" si="13"/>
        <v>0</v>
      </c>
      <c r="K62" s="167">
        <f t="shared" si="9"/>
        <v>720.43724000000009</v>
      </c>
      <c r="L62" s="169">
        <f t="shared" si="14"/>
        <v>1.1263107880893415</v>
      </c>
      <c r="M62" s="167">
        <f t="shared" si="10"/>
        <v>811.4362355533101</v>
      </c>
      <c r="N62" s="167">
        <f t="shared" si="15"/>
        <v>90.880858381970739</v>
      </c>
      <c r="Y62" s="98"/>
      <c r="Z62" s="99"/>
      <c r="AA62" s="100"/>
    </row>
    <row r="63" spans="2:27" ht="18" customHeight="1" x14ac:dyDescent="0.25">
      <c r="B63" s="112"/>
      <c r="C63" s="109"/>
      <c r="D63" s="166">
        <f t="shared" si="16"/>
        <v>46054</v>
      </c>
      <c r="E63" s="167">
        <f t="shared" si="17"/>
        <v>1621</v>
      </c>
      <c r="F63" s="167">
        <f t="shared" si="11"/>
        <v>648.40000000000009</v>
      </c>
      <c r="G63" s="167">
        <f t="shared" si="12"/>
        <v>0</v>
      </c>
      <c r="H63" s="167">
        <f t="shared" si="7"/>
        <v>72.037239999999997</v>
      </c>
      <c r="I63" s="167">
        <f t="shared" si="8"/>
        <v>720.43724000000009</v>
      </c>
      <c r="J63" s="168">
        <f t="shared" si="13"/>
        <v>0</v>
      </c>
      <c r="K63" s="167">
        <f t="shared" si="9"/>
        <v>720.43724000000009</v>
      </c>
      <c r="L63" s="169">
        <f t="shared" si="14"/>
        <v>1.1263107880893415</v>
      </c>
      <c r="M63" s="167">
        <f t="shared" si="10"/>
        <v>811.4362355533101</v>
      </c>
      <c r="N63" s="167">
        <f t="shared" si="15"/>
        <v>90.880858381970739</v>
      </c>
      <c r="Y63" s="98"/>
      <c r="Z63" s="99"/>
      <c r="AA63" s="100"/>
    </row>
    <row r="64" spans="2:27" ht="18" customHeight="1" x14ac:dyDescent="0.25">
      <c r="B64" s="112"/>
      <c r="C64" s="109"/>
      <c r="D64" s="166">
        <f t="shared" si="16"/>
        <v>46082</v>
      </c>
      <c r="E64" s="167">
        <f t="shared" si="17"/>
        <v>1621</v>
      </c>
      <c r="F64" s="167">
        <f t="shared" si="11"/>
        <v>648.40000000000009</v>
      </c>
      <c r="G64" s="167">
        <f t="shared" si="12"/>
        <v>162.10000000000002</v>
      </c>
      <c r="H64" s="167">
        <f t="shared" si="7"/>
        <v>72.037239999999997</v>
      </c>
      <c r="I64" s="167">
        <f t="shared" si="8"/>
        <v>882.53724000000011</v>
      </c>
      <c r="J64" s="168">
        <f t="shared" si="13"/>
        <v>0</v>
      </c>
      <c r="K64" s="167">
        <f t="shared" si="9"/>
        <v>882.53724000000011</v>
      </c>
      <c r="L64" s="169">
        <f t="shared" si="14"/>
        <v>1.1263107880893415</v>
      </c>
      <c r="M64" s="167">
        <f t="shared" si="10"/>
        <v>994.01121430259241</v>
      </c>
      <c r="N64" s="167">
        <f t="shared" si="15"/>
        <v>111.32925600189036</v>
      </c>
      <c r="Y64" s="98"/>
      <c r="Z64" s="99"/>
      <c r="AA64" s="100"/>
    </row>
    <row r="65" spans="2:27" ht="18" customHeight="1" x14ac:dyDescent="0.25">
      <c r="B65" s="112"/>
      <c r="C65" s="109"/>
      <c r="D65" s="166" t="str">
        <f t="shared" si="16"/>
        <v/>
      </c>
      <c r="E65" s="167" t="str">
        <f t="shared" si="17"/>
        <v/>
      </c>
      <c r="F65" s="167" t="str">
        <f t="shared" si="11"/>
        <v/>
      </c>
      <c r="G65" s="167" t="str">
        <f t="shared" si="12"/>
        <v/>
      </c>
      <c r="H65" s="167" t="str">
        <f t="shared" si="7"/>
        <v/>
      </c>
      <c r="I65" s="167" t="str">
        <f t="shared" si="8"/>
        <v/>
      </c>
      <c r="J65" s="168" t="str">
        <f t="shared" si="13"/>
        <v/>
      </c>
      <c r="K65" s="167">
        <f t="shared" si="9"/>
        <v>0</v>
      </c>
      <c r="L65" s="169" t="str">
        <f t="shared" si="14"/>
        <v/>
      </c>
      <c r="M65" s="167" t="str">
        <f t="shared" si="10"/>
        <v/>
      </c>
      <c r="N65" s="167" t="str">
        <f t="shared" si="15"/>
        <v/>
      </c>
      <c r="Y65" s="98"/>
      <c r="Z65" s="99"/>
      <c r="AA65" s="100"/>
    </row>
    <row r="66" spans="2:27" ht="18" customHeight="1" x14ac:dyDescent="0.25">
      <c r="B66" s="112"/>
      <c r="C66" s="109"/>
      <c r="D66" s="166" t="str">
        <f t="shared" si="16"/>
        <v/>
      </c>
      <c r="E66" s="167" t="str">
        <f t="shared" si="17"/>
        <v/>
      </c>
      <c r="F66" s="167" t="str">
        <f t="shared" si="11"/>
        <v/>
      </c>
      <c r="G66" s="167" t="str">
        <f t="shared" si="12"/>
        <v/>
      </c>
      <c r="H66" s="167" t="str">
        <f t="shared" si="7"/>
        <v/>
      </c>
      <c r="I66" s="167" t="str">
        <f t="shared" si="8"/>
        <v/>
      </c>
      <c r="J66" s="168" t="str">
        <f t="shared" si="13"/>
        <v/>
      </c>
      <c r="K66" s="167">
        <f t="shared" si="9"/>
        <v>0</v>
      </c>
      <c r="L66" s="169" t="str">
        <f t="shared" si="14"/>
        <v/>
      </c>
      <c r="M66" s="167" t="str">
        <f t="shared" si="10"/>
        <v/>
      </c>
      <c r="N66" s="167" t="str">
        <f t="shared" si="15"/>
        <v/>
      </c>
      <c r="Y66" s="98"/>
      <c r="Z66" s="99"/>
      <c r="AA66" s="100"/>
    </row>
    <row r="67" spans="2:27" ht="18" customHeight="1" x14ac:dyDescent="0.25">
      <c r="B67" s="112"/>
      <c r="C67" s="109"/>
      <c r="D67" s="166" t="str">
        <f t="shared" si="16"/>
        <v/>
      </c>
      <c r="E67" s="167" t="str">
        <f>IF(D67="","",IFERROR(VLOOKUP(D67,tabela_minimo,3,0),"-"))</f>
        <v/>
      </c>
      <c r="F67" s="167" t="str">
        <f t="shared" si="11"/>
        <v/>
      </c>
      <c r="G67" s="167" t="str">
        <f t="shared" si="12"/>
        <v/>
      </c>
      <c r="H67" s="167" t="str">
        <f t="shared" si="7"/>
        <v/>
      </c>
      <c r="I67" s="167" t="str">
        <f>IF(D67="","",SUM(F67:H67))</f>
        <v/>
      </c>
      <c r="J67" s="168" t="str">
        <f t="shared" si="13"/>
        <v/>
      </c>
      <c r="K67" s="167">
        <f>IF(D67="",0,I67-J67)</f>
        <v>0</v>
      </c>
      <c r="L67" s="169" t="str">
        <f>IF(D67="","",LOOKUP(D67,ms,índice_tst))</f>
        <v/>
      </c>
      <c r="M67" s="167" t="str">
        <f>IF(D67="","",K67*L67)</f>
        <v/>
      </c>
      <c r="N67" s="167" t="str">
        <f>IF(D67="","",M67*FGTS_perc)</f>
        <v/>
      </c>
      <c r="Y67" s="98"/>
      <c r="Z67" s="99"/>
      <c r="AA67" s="100"/>
    </row>
    <row r="68" spans="2:27" ht="18" customHeight="1" x14ac:dyDescent="0.25">
      <c r="B68" s="112"/>
      <c r="C68" s="109"/>
      <c r="D68" s="166" t="str">
        <f>IF(D67="","",IF(EDATE(D67,1)&gt;dispensa,"",EDATE(D67,1)))</f>
        <v/>
      </c>
      <c r="E68" s="167" t="str">
        <f>IF(D68="","",IFERROR(VLOOKUP(D68,tabela_minimo,3,0),"-"))</f>
        <v/>
      </c>
      <c r="F68" s="167" t="str">
        <f t="shared" si="11"/>
        <v/>
      </c>
      <c r="G68" s="167" t="str">
        <f t="shared" si="12"/>
        <v/>
      </c>
      <c r="H68" s="167" t="str">
        <f t="shared" si="7"/>
        <v/>
      </c>
      <c r="I68" s="167" t="str">
        <f>IF(D68="","",SUM(F68:H68))</f>
        <v/>
      </c>
      <c r="J68" s="168" t="str">
        <f t="shared" si="13"/>
        <v/>
      </c>
      <c r="K68" s="167">
        <f>IF(D68="",0,I68-J68)</f>
        <v>0</v>
      </c>
      <c r="L68" s="169" t="str">
        <f>IF(D68="","",LOOKUP(D68,ms,índice_tst))</f>
        <v/>
      </c>
      <c r="M68" s="167" t="str">
        <f>IF(D68="","",K68*L68)</f>
        <v/>
      </c>
      <c r="N68" s="167" t="str">
        <f>IF(D68="","",M68*FGTS_perc)</f>
        <v/>
      </c>
      <c r="Y68" s="98"/>
      <c r="Z68" s="99"/>
      <c r="AA68" s="100"/>
    </row>
    <row r="69" spans="2:27" ht="18" customHeight="1" x14ac:dyDescent="0.25">
      <c r="B69" s="112"/>
      <c r="C69" s="109"/>
      <c r="D69" s="166" t="str">
        <f>IF(D68="","",IF(EDATE(D68,1)&gt;dispensa,"",EDATE(D68,1)))</f>
        <v/>
      </c>
      <c r="E69" s="167" t="str">
        <f t="shared" si="17"/>
        <v/>
      </c>
      <c r="F69" s="167" t="str">
        <f t="shared" si="11"/>
        <v/>
      </c>
      <c r="G69" s="167" t="str">
        <f t="shared" si="12"/>
        <v/>
      </c>
      <c r="H69" s="167" t="str">
        <f t="shared" si="7"/>
        <v/>
      </c>
      <c r="I69" s="167" t="str">
        <f t="shared" si="8"/>
        <v/>
      </c>
      <c r="J69" s="168" t="str">
        <f t="shared" si="13"/>
        <v/>
      </c>
      <c r="K69" s="167">
        <f t="shared" si="9"/>
        <v>0</v>
      </c>
      <c r="L69" s="169" t="str">
        <f t="shared" si="14"/>
        <v/>
      </c>
      <c r="M69" s="167" t="str">
        <f t="shared" si="10"/>
        <v/>
      </c>
      <c r="N69" s="167" t="str">
        <f t="shared" si="15"/>
        <v/>
      </c>
      <c r="Y69" s="98"/>
      <c r="Z69" s="99"/>
      <c r="AA69" s="100"/>
    </row>
    <row r="70" spans="2:27" ht="18" customHeight="1" x14ac:dyDescent="0.25">
      <c r="B70" s="112"/>
      <c r="C70" s="109"/>
      <c r="D70" s="166" t="str">
        <f t="shared" si="16"/>
        <v/>
      </c>
      <c r="E70" s="167" t="str">
        <f t="shared" si="17"/>
        <v/>
      </c>
      <c r="F70" s="167" t="str">
        <f t="shared" ref="F70:F101" si="18">IF(D70="","",IFERROR(E70*ad_insalubre,0))</f>
        <v/>
      </c>
      <c r="G70" s="167" t="str">
        <f t="shared" ref="G70:G101" si="19">IF(D70="","",IF(MONTH(D70)=12,F70,IF(AND(YEAR(D70)=YEAR(dispensa),MONTH(D70)=MONTH(dispensa)),F70*MONTH(dispensa)/12,0)))</f>
        <v/>
      </c>
      <c r="H70" s="167" t="str">
        <f t="shared" si="7"/>
        <v/>
      </c>
      <c r="I70" s="167" t="str">
        <f t="shared" si="8"/>
        <v/>
      </c>
      <c r="J70" s="168" t="str">
        <f t="shared" ref="J70:J77" si="20">IF(D70="","",IFERROR(E70*insalubre_pg,0))</f>
        <v/>
      </c>
      <c r="K70" s="167">
        <f t="shared" si="9"/>
        <v>0</v>
      </c>
      <c r="L70" s="169" t="str">
        <f t="shared" ref="L70:L77" si="21">IF(D70="","",LOOKUP(D70,ms,índice_tst))</f>
        <v/>
      </c>
      <c r="M70" s="167" t="str">
        <f t="shared" si="10"/>
        <v/>
      </c>
      <c r="N70" s="167" t="str">
        <f t="shared" ref="N70:N77" si="22">IF(D70="","",M70*FGTS_perc)</f>
        <v/>
      </c>
      <c r="Y70" s="98"/>
      <c r="Z70" s="99"/>
      <c r="AA70" s="100"/>
    </row>
    <row r="71" spans="2:27" ht="18" customHeight="1" x14ac:dyDescent="0.25">
      <c r="B71" s="112"/>
      <c r="C71" s="109"/>
      <c r="D71" s="166" t="str">
        <f t="shared" si="16"/>
        <v/>
      </c>
      <c r="E71" s="167" t="str">
        <f t="shared" si="17"/>
        <v/>
      </c>
      <c r="F71" s="167" t="str">
        <f t="shared" si="18"/>
        <v/>
      </c>
      <c r="G71" s="167" t="str">
        <f t="shared" si="19"/>
        <v/>
      </c>
      <c r="H71" s="167" t="str">
        <f t="shared" ref="H71:H77" si="23">IF(D71="","",IFERROR(F71*11.11%,0))</f>
        <v/>
      </c>
      <c r="I71" s="167" t="str">
        <f t="shared" si="8"/>
        <v/>
      </c>
      <c r="J71" s="168" t="str">
        <f t="shared" si="20"/>
        <v/>
      </c>
      <c r="K71" s="167">
        <f t="shared" ref="K71:K77" si="24">IF(D71="",0,I71-J71)</f>
        <v>0</v>
      </c>
      <c r="L71" s="169" t="str">
        <f t="shared" si="21"/>
        <v/>
      </c>
      <c r="M71" s="167" t="str">
        <f t="shared" ref="M71:M77" si="25">IF(D71="","",K71*L71)</f>
        <v/>
      </c>
      <c r="N71" s="167" t="str">
        <f t="shared" si="22"/>
        <v/>
      </c>
      <c r="Y71" s="98"/>
      <c r="Z71" s="99"/>
      <c r="AA71" s="100"/>
    </row>
    <row r="72" spans="2:27" ht="18" customHeight="1" x14ac:dyDescent="0.25">
      <c r="B72" s="112"/>
      <c r="C72" s="109"/>
      <c r="D72" s="166" t="str">
        <f t="shared" si="16"/>
        <v/>
      </c>
      <c r="E72" s="167" t="str">
        <f t="shared" si="17"/>
        <v/>
      </c>
      <c r="F72" s="167" t="str">
        <f t="shared" si="18"/>
        <v/>
      </c>
      <c r="G72" s="167" t="str">
        <f t="shared" si="19"/>
        <v/>
      </c>
      <c r="H72" s="167" t="str">
        <f t="shared" si="23"/>
        <v/>
      </c>
      <c r="I72" s="167" t="str">
        <f t="shared" si="8"/>
        <v/>
      </c>
      <c r="J72" s="168" t="str">
        <f t="shared" si="20"/>
        <v/>
      </c>
      <c r="K72" s="167">
        <f t="shared" si="24"/>
        <v>0</v>
      </c>
      <c r="L72" s="169" t="str">
        <f t="shared" si="21"/>
        <v/>
      </c>
      <c r="M72" s="167" t="str">
        <f t="shared" si="25"/>
        <v/>
      </c>
      <c r="N72" s="167" t="str">
        <f t="shared" si="22"/>
        <v/>
      </c>
      <c r="Y72" s="98"/>
      <c r="Z72" s="99"/>
      <c r="AA72" s="100"/>
    </row>
    <row r="73" spans="2:27" ht="18" customHeight="1" x14ac:dyDescent="0.25">
      <c r="B73" s="112"/>
      <c r="C73" s="109"/>
      <c r="D73" s="166" t="str">
        <f t="shared" si="16"/>
        <v/>
      </c>
      <c r="E73" s="167" t="str">
        <f t="shared" si="17"/>
        <v/>
      </c>
      <c r="F73" s="167" t="str">
        <f t="shared" si="18"/>
        <v/>
      </c>
      <c r="G73" s="167" t="str">
        <f t="shared" si="19"/>
        <v/>
      </c>
      <c r="H73" s="167" t="str">
        <f t="shared" si="23"/>
        <v/>
      </c>
      <c r="I73" s="167" t="str">
        <f t="shared" si="8"/>
        <v/>
      </c>
      <c r="J73" s="168" t="str">
        <f t="shared" si="20"/>
        <v/>
      </c>
      <c r="K73" s="167">
        <f t="shared" si="24"/>
        <v>0</v>
      </c>
      <c r="L73" s="169" t="str">
        <f t="shared" si="21"/>
        <v/>
      </c>
      <c r="M73" s="167" t="str">
        <f t="shared" si="25"/>
        <v/>
      </c>
      <c r="N73" s="167" t="str">
        <f t="shared" si="22"/>
        <v/>
      </c>
      <c r="Y73" s="98"/>
      <c r="Z73" s="99"/>
      <c r="AA73" s="100"/>
    </row>
    <row r="74" spans="2:27" ht="18" customHeight="1" x14ac:dyDescent="0.25">
      <c r="B74" s="112"/>
      <c r="C74" s="109"/>
      <c r="D74" s="166" t="str">
        <f t="shared" si="16"/>
        <v/>
      </c>
      <c r="E74" s="167" t="str">
        <f t="shared" si="17"/>
        <v/>
      </c>
      <c r="F74" s="167" t="str">
        <f t="shared" si="18"/>
        <v/>
      </c>
      <c r="G74" s="167" t="str">
        <f t="shared" si="19"/>
        <v/>
      </c>
      <c r="H74" s="167" t="str">
        <f t="shared" si="23"/>
        <v/>
      </c>
      <c r="I74" s="167" t="str">
        <f t="shared" si="8"/>
        <v/>
      </c>
      <c r="J74" s="168" t="str">
        <f t="shared" si="20"/>
        <v/>
      </c>
      <c r="K74" s="167">
        <f t="shared" si="24"/>
        <v>0</v>
      </c>
      <c r="L74" s="169" t="str">
        <f t="shared" si="21"/>
        <v/>
      </c>
      <c r="M74" s="167" t="str">
        <f t="shared" si="25"/>
        <v/>
      </c>
      <c r="N74" s="167" t="str">
        <f t="shared" si="22"/>
        <v/>
      </c>
      <c r="Y74" s="98"/>
      <c r="Z74" s="99"/>
      <c r="AA74" s="100"/>
    </row>
    <row r="75" spans="2:27" ht="18" customHeight="1" x14ac:dyDescent="0.25">
      <c r="B75" s="112"/>
      <c r="C75" s="109"/>
      <c r="D75" s="166" t="str">
        <f t="shared" si="16"/>
        <v/>
      </c>
      <c r="E75" s="167" t="str">
        <f t="shared" si="17"/>
        <v/>
      </c>
      <c r="F75" s="167" t="str">
        <f t="shared" si="18"/>
        <v/>
      </c>
      <c r="G75" s="167" t="str">
        <f t="shared" si="19"/>
        <v/>
      </c>
      <c r="H75" s="167" t="str">
        <f t="shared" si="23"/>
        <v/>
      </c>
      <c r="I75" s="167" t="str">
        <f t="shared" si="8"/>
        <v/>
      </c>
      <c r="J75" s="168" t="str">
        <f t="shared" si="20"/>
        <v/>
      </c>
      <c r="K75" s="167">
        <f t="shared" si="24"/>
        <v>0</v>
      </c>
      <c r="L75" s="169" t="str">
        <f t="shared" si="21"/>
        <v/>
      </c>
      <c r="M75" s="167" t="str">
        <f t="shared" si="25"/>
        <v/>
      </c>
      <c r="N75" s="167" t="str">
        <f t="shared" si="22"/>
        <v/>
      </c>
      <c r="Y75" s="98"/>
      <c r="Z75" s="99"/>
      <c r="AA75" s="100"/>
    </row>
    <row r="76" spans="2:27" ht="18" customHeight="1" x14ac:dyDescent="0.25">
      <c r="B76" s="112"/>
      <c r="C76" s="109"/>
      <c r="D76" s="166" t="str">
        <f t="shared" si="16"/>
        <v/>
      </c>
      <c r="E76" s="167" t="str">
        <f t="shared" si="17"/>
        <v/>
      </c>
      <c r="F76" s="167" t="str">
        <f t="shared" si="18"/>
        <v/>
      </c>
      <c r="G76" s="167" t="str">
        <f t="shared" si="19"/>
        <v/>
      </c>
      <c r="H76" s="167" t="str">
        <f t="shared" si="23"/>
        <v/>
      </c>
      <c r="I76" s="167" t="str">
        <f t="shared" si="8"/>
        <v/>
      </c>
      <c r="J76" s="168" t="str">
        <f t="shared" si="20"/>
        <v/>
      </c>
      <c r="K76" s="167">
        <f t="shared" si="24"/>
        <v>0</v>
      </c>
      <c r="L76" s="169" t="str">
        <f t="shared" si="21"/>
        <v/>
      </c>
      <c r="M76" s="167" t="str">
        <f t="shared" si="25"/>
        <v/>
      </c>
      <c r="N76" s="167" t="str">
        <f t="shared" si="22"/>
        <v/>
      </c>
      <c r="Y76" s="98"/>
      <c r="Z76" s="99"/>
      <c r="AA76" s="100"/>
    </row>
    <row r="77" spans="2:27" ht="18" customHeight="1" x14ac:dyDescent="0.25">
      <c r="B77" s="112"/>
      <c r="C77" s="109"/>
      <c r="D77" s="170" t="str">
        <f t="shared" si="16"/>
        <v/>
      </c>
      <c r="E77" s="171" t="str">
        <f t="shared" si="17"/>
        <v/>
      </c>
      <c r="F77" s="171" t="str">
        <f t="shared" si="18"/>
        <v/>
      </c>
      <c r="G77" s="171" t="str">
        <f t="shared" si="19"/>
        <v/>
      </c>
      <c r="H77" s="171" t="str">
        <f t="shared" si="23"/>
        <v/>
      </c>
      <c r="I77" s="171" t="str">
        <f t="shared" si="8"/>
        <v/>
      </c>
      <c r="J77" s="172" t="str">
        <f t="shared" si="20"/>
        <v/>
      </c>
      <c r="K77" s="171">
        <f t="shared" si="24"/>
        <v>0</v>
      </c>
      <c r="L77" s="173" t="str">
        <f t="shared" si="21"/>
        <v/>
      </c>
      <c r="M77" s="171" t="str">
        <f t="shared" si="25"/>
        <v/>
      </c>
      <c r="N77" s="171" t="str">
        <f t="shared" si="22"/>
        <v/>
      </c>
      <c r="Y77" s="98"/>
      <c r="Z77" s="99"/>
      <c r="AA77" s="100"/>
    </row>
    <row r="78" spans="2:27" ht="20.100000000000001" customHeight="1" x14ac:dyDescent="0.25">
      <c r="D78" s="122"/>
      <c r="E78" s="121"/>
      <c r="F78" s="121"/>
      <c r="G78" s="121"/>
      <c r="H78" s="121"/>
      <c r="I78" s="123"/>
      <c r="J78" s="123"/>
      <c r="K78" s="123"/>
      <c r="L78" s="174" t="s">
        <v>14</v>
      </c>
      <c r="M78" s="175">
        <f>SUM(M6:M77)</f>
        <v>44084.142068474932</v>
      </c>
      <c r="N78" s="176">
        <f>SUM(N6:N77)</f>
        <v>4937.4239116691997</v>
      </c>
      <c r="Y78" s="98"/>
      <c r="Z78" s="99"/>
      <c r="AA78" s="100"/>
    </row>
    <row r="79" spans="2:27" x14ac:dyDescent="0.2">
      <c r="D79" s="122"/>
      <c r="E79" s="121"/>
      <c r="F79" s="121"/>
      <c r="G79" s="121"/>
      <c r="H79" s="124"/>
      <c r="I79" s="124"/>
      <c r="J79" s="124"/>
      <c r="K79" s="124"/>
      <c r="L79" s="124"/>
      <c r="M79" s="124"/>
      <c r="N79" s="124"/>
      <c r="Y79" s="98"/>
      <c r="Z79" s="99"/>
      <c r="AA79" s="100"/>
    </row>
    <row r="80" spans="2:27" ht="13.5" thickBot="1" x14ac:dyDescent="0.25">
      <c r="D80" s="122"/>
      <c r="E80" s="121"/>
      <c r="F80" s="121"/>
      <c r="G80" s="121"/>
      <c r="H80" s="124"/>
      <c r="I80" s="124"/>
      <c r="J80" s="124"/>
      <c r="K80" s="124"/>
      <c r="L80" s="124"/>
      <c r="M80" s="124"/>
      <c r="N80" s="124"/>
      <c r="Y80" s="98"/>
      <c r="Z80" s="99"/>
      <c r="AA80" s="100"/>
    </row>
    <row r="81" spans="4:27" ht="18" thickBot="1" x14ac:dyDescent="0.35">
      <c r="D81" s="122"/>
      <c r="E81" s="121"/>
      <c r="F81" s="121"/>
      <c r="G81" s="121"/>
      <c r="H81" s="121"/>
      <c r="I81" s="121"/>
      <c r="J81" s="125"/>
      <c r="K81" s="125"/>
      <c r="L81" s="177" t="s">
        <v>15</v>
      </c>
      <c r="M81" s="178"/>
      <c r="N81" s="136">
        <f>M78+N78</f>
        <v>49021.565980144129</v>
      </c>
      <c r="Y81" s="98"/>
      <c r="Z81" s="99"/>
      <c r="AA81" s="100"/>
    </row>
    <row r="82" spans="4:27" x14ac:dyDescent="0.2">
      <c r="H82" s="10"/>
      <c r="I82" s="10"/>
      <c r="J82" s="10"/>
      <c r="K82" s="10"/>
      <c r="L82" s="10"/>
      <c r="M82" s="10"/>
      <c r="N82" s="10"/>
      <c r="Y82" s="98"/>
      <c r="Z82" s="99"/>
      <c r="AA82" s="100"/>
    </row>
    <row r="83" spans="4:27" x14ac:dyDescent="0.2">
      <c r="Y83" s="98"/>
      <c r="Z83" s="99"/>
      <c r="AA83" s="100"/>
    </row>
    <row r="84" spans="4:27" hidden="1" x14ac:dyDescent="0.2">
      <c r="Y84" s="98"/>
      <c r="Z84" s="99"/>
      <c r="AA84" s="100"/>
    </row>
    <row r="85" spans="4:27" hidden="1" x14ac:dyDescent="0.2">
      <c r="Y85" s="98"/>
      <c r="Z85" s="99"/>
      <c r="AA85" s="100"/>
    </row>
    <row r="86" spans="4:27" hidden="1" x14ac:dyDescent="0.2">
      <c r="Y86" s="98"/>
      <c r="Z86" s="99"/>
      <c r="AA86" s="100"/>
    </row>
    <row r="87" spans="4:27" hidden="1" x14ac:dyDescent="0.2">
      <c r="Y87" s="98"/>
      <c r="Z87" s="99"/>
      <c r="AA87" s="100"/>
    </row>
    <row r="88" spans="4:27" hidden="1" x14ac:dyDescent="0.2">
      <c r="Y88" s="98"/>
      <c r="Z88" s="99"/>
      <c r="AA88" s="100"/>
    </row>
    <row r="89" spans="4:27" hidden="1" x14ac:dyDescent="0.2">
      <c r="Y89" s="98"/>
      <c r="Z89" s="99"/>
      <c r="AA89" s="100"/>
    </row>
    <row r="90" spans="4:27" hidden="1" x14ac:dyDescent="0.2">
      <c r="Y90" s="98"/>
      <c r="Z90" s="99"/>
      <c r="AA90" s="100"/>
    </row>
    <row r="91" spans="4:27" hidden="1" x14ac:dyDescent="0.2">
      <c r="Y91" s="98"/>
      <c r="Z91" s="99"/>
      <c r="AA91" s="100"/>
    </row>
    <row r="92" spans="4:27" hidden="1" x14ac:dyDescent="0.2">
      <c r="Y92" s="98"/>
      <c r="Z92" s="99"/>
      <c r="AA92" s="100"/>
    </row>
    <row r="93" spans="4:27" hidden="1" x14ac:dyDescent="0.2">
      <c r="Y93" s="98"/>
      <c r="Z93" s="99"/>
      <c r="AA93" s="100"/>
    </row>
    <row r="94" spans="4:27" hidden="1" x14ac:dyDescent="0.2">
      <c r="Y94" s="98"/>
      <c r="Z94" s="99"/>
      <c r="AA94" s="100"/>
    </row>
    <row r="95" spans="4:27" hidden="1" x14ac:dyDescent="0.2">
      <c r="Y95" s="98"/>
      <c r="Z95" s="99"/>
      <c r="AA95" s="100"/>
    </row>
    <row r="96" spans="4:27" hidden="1" x14ac:dyDescent="0.2">
      <c r="Y96" s="98"/>
      <c r="Z96" s="99"/>
      <c r="AA96" s="100"/>
    </row>
    <row r="97" spans="25:27" hidden="1" x14ac:dyDescent="0.2">
      <c r="Y97" s="98"/>
      <c r="Z97" s="99"/>
      <c r="AA97" s="100"/>
    </row>
    <row r="98" spans="25:27" hidden="1" x14ac:dyDescent="0.2">
      <c r="Y98" s="98"/>
      <c r="Z98" s="99"/>
      <c r="AA98" s="100"/>
    </row>
    <row r="99" spans="25:27" hidden="1" x14ac:dyDescent="0.2">
      <c r="Y99" s="98"/>
      <c r="Z99" s="99"/>
      <c r="AA99" s="100"/>
    </row>
    <row r="100" spans="25:27" hidden="1" x14ac:dyDescent="0.2">
      <c r="Y100" s="98"/>
      <c r="Z100" s="99"/>
      <c r="AA100" s="100"/>
    </row>
    <row r="101" spans="25:27" hidden="1" x14ac:dyDescent="0.2">
      <c r="Y101" s="98"/>
      <c r="Z101" s="99"/>
      <c r="AA101" s="100"/>
    </row>
    <row r="102" spans="25:27" hidden="1" x14ac:dyDescent="0.2">
      <c r="Y102" s="98"/>
      <c r="Z102" s="99"/>
      <c r="AA102" s="100"/>
    </row>
    <row r="103" spans="25:27" hidden="1" x14ac:dyDescent="0.2">
      <c r="Y103" s="98"/>
      <c r="Z103" s="99"/>
      <c r="AA103" s="100"/>
    </row>
    <row r="104" spans="25:27" hidden="1" x14ac:dyDescent="0.2">
      <c r="Y104" s="98"/>
      <c r="Z104" s="99"/>
      <c r="AA104" s="100"/>
    </row>
    <row r="105" spans="25:27" hidden="1" x14ac:dyDescent="0.2">
      <c r="Y105" s="98"/>
      <c r="Z105" s="99"/>
      <c r="AA105" s="100"/>
    </row>
    <row r="106" spans="25:27" hidden="1" x14ac:dyDescent="0.2">
      <c r="Y106" s="98"/>
      <c r="Z106" s="99"/>
      <c r="AA106" s="100"/>
    </row>
    <row r="107" spans="25:27" hidden="1" x14ac:dyDescent="0.2">
      <c r="Y107" s="98"/>
      <c r="Z107" s="99"/>
      <c r="AA107" s="100"/>
    </row>
    <row r="108" spans="25:27" hidden="1" x14ac:dyDescent="0.2">
      <c r="Y108" s="98"/>
      <c r="Z108" s="99"/>
      <c r="AA108" s="100"/>
    </row>
    <row r="109" spans="25:27" hidden="1" x14ac:dyDescent="0.2">
      <c r="Y109" s="98"/>
      <c r="Z109" s="99"/>
      <c r="AA109" s="100"/>
    </row>
    <row r="110" spans="25:27" hidden="1" x14ac:dyDescent="0.2">
      <c r="Y110" s="98"/>
      <c r="Z110" s="99"/>
      <c r="AA110" s="100"/>
    </row>
    <row r="111" spans="25:27" hidden="1" x14ac:dyDescent="0.2">
      <c r="Y111" s="98"/>
      <c r="Z111" s="99"/>
      <c r="AA111" s="100"/>
    </row>
    <row r="112" spans="25:27" hidden="1" x14ac:dyDescent="0.2">
      <c r="Y112" s="98"/>
      <c r="Z112" s="99"/>
      <c r="AA112" s="100"/>
    </row>
    <row r="113" spans="25:27" hidden="1" x14ac:dyDescent="0.2">
      <c r="Y113" s="98"/>
      <c r="Z113" s="99"/>
      <c r="AA113" s="100"/>
    </row>
    <row r="114" spans="25:27" hidden="1" x14ac:dyDescent="0.2">
      <c r="Y114" s="98"/>
      <c r="Z114" s="99"/>
      <c r="AA114" s="100"/>
    </row>
    <row r="115" spans="25:27" hidden="1" x14ac:dyDescent="0.2">
      <c r="Y115" s="98"/>
      <c r="Z115" s="99"/>
      <c r="AA115" s="100"/>
    </row>
    <row r="116" spans="25:27" hidden="1" x14ac:dyDescent="0.2">
      <c r="Y116" s="98"/>
      <c r="Z116" s="99"/>
      <c r="AA116" s="100"/>
    </row>
    <row r="117" spans="25:27" hidden="1" x14ac:dyDescent="0.2">
      <c r="Y117" s="98"/>
      <c r="Z117" s="99"/>
      <c r="AA117" s="100"/>
    </row>
    <row r="118" spans="25:27" hidden="1" x14ac:dyDescent="0.2">
      <c r="Y118" s="98"/>
      <c r="Z118" s="99"/>
      <c r="AA118" s="100"/>
    </row>
    <row r="119" spans="25:27" hidden="1" x14ac:dyDescent="0.2">
      <c r="Y119" s="98"/>
      <c r="Z119" s="99"/>
      <c r="AA119" s="100"/>
    </row>
    <row r="120" spans="25:27" hidden="1" x14ac:dyDescent="0.2">
      <c r="Y120" s="98"/>
      <c r="Z120" s="99"/>
      <c r="AA120" s="100"/>
    </row>
    <row r="121" spans="25:27" hidden="1" x14ac:dyDescent="0.2">
      <c r="Y121" s="98"/>
      <c r="Z121" s="99"/>
      <c r="AA121" s="100"/>
    </row>
    <row r="122" spans="25:27" hidden="1" x14ac:dyDescent="0.2">
      <c r="Y122" s="98"/>
      <c r="Z122" s="99"/>
      <c r="AA122" s="100"/>
    </row>
    <row r="123" spans="25:27" hidden="1" x14ac:dyDescent="0.2">
      <c r="Y123" s="98"/>
      <c r="Z123" s="99"/>
      <c r="AA123" s="100"/>
    </row>
    <row r="124" spans="25:27" hidden="1" x14ac:dyDescent="0.2">
      <c r="Y124" s="98"/>
      <c r="Z124" s="99"/>
      <c r="AA124" s="100"/>
    </row>
    <row r="125" spans="25:27" hidden="1" x14ac:dyDescent="0.2">
      <c r="Y125" s="98"/>
      <c r="Z125" s="99"/>
      <c r="AA125" s="100"/>
    </row>
    <row r="126" spans="25:27" hidden="1" x14ac:dyDescent="0.2">
      <c r="Y126" s="98"/>
      <c r="Z126" s="99"/>
      <c r="AA126" s="100"/>
    </row>
    <row r="127" spans="25:27" hidden="1" x14ac:dyDescent="0.2">
      <c r="Y127" s="98"/>
      <c r="Z127" s="99"/>
      <c r="AA127" s="100"/>
    </row>
    <row r="128" spans="25:27" hidden="1" x14ac:dyDescent="0.2">
      <c r="Y128" s="98"/>
      <c r="Z128" s="99"/>
      <c r="AA128" s="100"/>
    </row>
    <row r="129" spans="25:27" hidden="1" x14ac:dyDescent="0.2">
      <c r="Y129" s="98"/>
      <c r="Z129" s="99"/>
      <c r="AA129" s="100"/>
    </row>
    <row r="130" spans="25:27" hidden="1" x14ac:dyDescent="0.2">
      <c r="Y130" s="98"/>
      <c r="Z130" s="99"/>
      <c r="AA130" s="100"/>
    </row>
    <row r="131" spans="25:27" hidden="1" x14ac:dyDescent="0.2">
      <c r="Y131" s="98"/>
      <c r="Z131" s="99"/>
      <c r="AA131" s="100"/>
    </row>
    <row r="132" spans="25:27" hidden="1" x14ac:dyDescent="0.2">
      <c r="Y132" s="98"/>
      <c r="Z132" s="99"/>
      <c r="AA132" s="100"/>
    </row>
    <row r="133" spans="25:27" hidden="1" x14ac:dyDescent="0.2">
      <c r="Y133" s="98"/>
      <c r="Z133" s="99"/>
      <c r="AA133" s="100"/>
    </row>
    <row r="134" spans="25:27" hidden="1" x14ac:dyDescent="0.2">
      <c r="Y134" s="98"/>
      <c r="Z134" s="99"/>
      <c r="AA134" s="100"/>
    </row>
    <row r="135" spans="25:27" hidden="1" x14ac:dyDescent="0.2">
      <c r="Y135" s="98"/>
      <c r="Z135" s="99"/>
      <c r="AA135" s="100"/>
    </row>
    <row r="136" spans="25:27" hidden="1" x14ac:dyDescent="0.2">
      <c r="Y136" s="98"/>
      <c r="Z136" s="99"/>
      <c r="AA136" s="100"/>
    </row>
    <row r="137" spans="25:27" hidden="1" x14ac:dyDescent="0.2">
      <c r="Y137" s="98"/>
      <c r="Z137" s="99"/>
      <c r="AA137" s="100"/>
    </row>
    <row r="138" spans="25:27" hidden="1" x14ac:dyDescent="0.2">
      <c r="Y138" s="98"/>
      <c r="Z138" s="99"/>
      <c r="AA138" s="100"/>
    </row>
    <row r="139" spans="25:27" hidden="1" x14ac:dyDescent="0.2">
      <c r="Y139" s="98"/>
      <c r="Z139" s="99"/>
      <c r="AA139" s="100"/>
    </row>
    <row r="140" spans="25:27" hidden="1" x14ac:dyDescent="0.2">
      <c r="Y140" s="98"/>
      <c r="Z140" s="99"/>
      <c r="AA140" s="100"/>
    </row>
    <row r="141" spans="25:27" hidden="1" x14ac:dyDescent="0.2">
      <c r="Y141" s="98"/>
      <c r="Z141" s="99"/>
      <c r="AA141" s="100"/>
    </row>
    <row r="142" spans="25:27" hidden="1" x14ac:dyDescent="0.2">
      <c r="Y142" s="98"/>
      <c r="Z142" s="99"/>
      <c r="AA142" s="101"/>
    </row>
    <row r="143" spans="25:27" hidden="1" x14ac:dyDescent="0.2">
      <c r="Y143" s="98"/>
      <c r="Z143" s="99"/>
      <c r="AA143" s="101"/>
    </row>
    <row r="144" spans="25:27" hidden="1" x14ac:dyDescent="0.2">
      <c r="Y144" s="98"/>
      <c r="Z144" s="99"/>
      <c r="AA144" s="101"/>
    </row>
    <row r="145" spans="25:27" hidden="1" x14ac:dyDescent="0.2">
      <c r="Y145" s="98"/>
      <c r="Z145" s="99"/>
      <c r="AA145" s="101"/>
    </row>
    <row r="146" spans="25:27" hidden="1" x14ac:dyDescent="0.2">
      <c r="Y146" s="98"/>
      <c r="Z146" s="99"/>
      <c r="AA146" s="101"/>
    </row>
    <row r="147" spans="25:27" hidden="1" x14ac:dyDescent="0.2">
      <c r="Y147" s="98"/>
      <c r="Z147" s="99"/>
      <c r="AA147" s="101"/>
    </row>
    <row r="148" spans="25:27" hidden="1" x14ac:dyDescent="0.2">
      <c r="Y148" s="98"/>
      <c r="Z148" s="99"/>
      <c r="AA148" s="101"/>
    </row>
    <row r="149" spans="25:27" hidden="1" x14ac:dyDescent="0.2">
      <c r="Y149" s="98"/>
      <c r="Z149" s="99"/>
      <c r="AA149" s="101"/>
    </row>
    <row r="150" spans="25:27" hidden="1" x14ac:dyDescent="0.2">
      <c r="Y150" s="98"/>
      <c r="Z150" s="99"/>
      <c r="AA150" s="101"/>
    </row>
    <row r="151" spans="25:27" hidden="1" x14ac:dyDescent="0.2">
      <c r="Y151" s="98"/>
      <c r="Z151" s="99"/>
      <c r="AA151" s="101"/>
    </row>
    <row r="152" spans="25:27" hidden="1" x14ac:dyDescent="0.2">
      <c r="Y152" s="98"/>
      <c r="Z152" s="99"/>
      <c r="AA152" s="101"/>
    </row>
    <row r="153" spans="25:27" hidden="1" x14ac:dyDescent="0.2">
      <c r="Y153" s="98"/>
      <c r="Z153" s="99"/>
      <c r="AA153" s="101"/>
    </row>
    <row r="154" spans="25:27" hidden="1" x14ac:dyDescent="0.2">
      <c r="Y154" s="98"/>
      <c r="Z154" s="99"/>
      <c r="AA154" s="101"/>
    </row>
    <row r="155" spans="25:27" hidden="1" x14ac:dyDescent="0.2">
      <c r="Y155" s="98"/>
      <c r="Z155" s="99"/>
      <c r="AA155" s="101"/>
    </row>
    <row r="156" spans="25:27" hidden="1" x14ac:dyDescent="0.2">
      <c r="Y156" s="98"/>
      <c r="Z156" s="99"/>
      <c r="AA156" s="101"/>
    </row>
    <row r="157" spans="25:27" hidden="1" x14ac:dyDescent="0.2">
      <c r="Y157" s="98"/>
      <c r="Z157" s="99"/>
      <c r="AA157" s="101"/>
    </row>
    <row r="158" spans="25:27" hidden="1" x14ac:dyDescent="0.2">
      <c r="Y158" s="98"/>
      <c r="Z158" s="99"/>
      <c r="AA158" s="101"/>
    </row>
    <row r="159" spans="25:27" hidden="1" x14ac:dyDescent="0.2">
      <c r="Y159" s="98"/>
      <c r="Z159" s="99"/>
      <c r="AA159" s="101"/>
    </row>
    <row r="160" spans="25:27" hidden="1" x14ac:dyDescent="0.2">
      <c r="Y160" s="98"/>
      <c r="Z160" s="99"/>
      <c r="AA160" s="101"/>
    </row>
    <row r="161" spans="25:27" hidden="1" x14ac:dyDescent="0.2">
      <c r="Y161" s="98"/>
      <c r="Z161" s="99"/>
      <c r="AA161" s="101"/>
    </row>
    <row r="162" spans="25:27" hidden="1" x14ac:dyDescent="0.2">
      <c r="Y162" s="98"/>
      <c r="Z162" s="99"/>
      <c r="AA162" s="101"/>
    </row>
    <row r="163" spans="25:27" hidden="1" x14ac:dyDescent="0.2">
      <c r="Y163" s="98"/>
      <c r="Z163" s="99"/>
      <c r="AA163" s="101"/>
    </row>
    <row r="164" spans="25:27" hidden="1" x14ac:dyDescent="0.2">
      <c r="Y164" s="98"/>
      <c r="Z164" s="99"/>
      <c r="AA164" s="101"/>
    </row>
    <row r="165" spans="25:27" hidden="1" x14ac:dyDescent="0.2">
      <c r="Y165" s="98"/>
      <c r="Z165" s="99"/>
      <c r="AA165" s="101"/>
    </row>
    <row r="166" spans="25:27" hidden="1" x14ac:dyDescent="0.2">
      <c r="Y166" s="98"/>
      <c r="Z166" s="99"/>
      <c r="AA166" s="101"/>
    </row>
    <row r="167" spans="25:27" hidden="1" x14ac:dyDescent="0.2">
      <c r="Y167" s="98"/>
      <c r="Z167" s="99"/>
      <c r="AA167" s="101"/>
    </row>
    <row r="168" spans="25:27" hidden="1" x14ac:dyDescent="0.2">
      <c r="Y168" s="98"/>
      <c r="Z168" s="99"/>
      <c r="AA168" s="101"/>
    </row>
    <row r="169" spans="25:27" hidden="1" x14ac:dyDescent="0.2">
      <c r="Y169" s="98"/>
      <c r="Z169" s="99"/>
      <c r="AA169" s="101"/>
    </row>
    <row r="170" spans="25:27" hidden="1" x14ac:dyDescent="0.2">
      <c r="Y170" s="98"/>
      <c r="Z170" s="99"/>
      <c r="AA170" s="101"/>
    </row>
    <row r="171" spans="25:27" hidden="1" x14ac:dyDescent="0.2">
      <c r="Y171" s="98"/>
      <c r="Z171" s="99"/>
      <c r="AA171" s="101"/>
    </row>
    <row r="172" spans="25:27" hidden="1" x14ac:dyDescent="0.2">
      <c r="Y172" s="98"/>
      <c r="Z172" s="99"/>
      <c r="AA172" s="101"/>
    </row>
    <row r="173" spans="25:27" hidden="1" x14ac:dyDescent="0.2">
      <c r="Y173" s="98"/>
      <c r="Z173" s="99"/>
      <c r="AA173" s="101"/>
    </row>
    <row r="174" spans="25:27" hidden="1" x14ac:dyDescent="0.2">
      <c r="Y174" s="98"/>
      <c r="Z174" s="99"/>
      <c r="AA174" s="101"/>
    </row>
    <row r="175" spans="25:27" hidden="1" x14ac:dyDescent="0.2">
      <c r="Y175" s="98"/>
      <c r="Z175" s="99"/>
      <c r="AA175" s="101"/>
    </row>
    <row r="176" spans="25:27" hidden="1" x14ac:dyDescent="0.2">
      <c r="Y176" s="98"/>
      <c r="Z176" s="99"/>
      <c r="AA176" s="101"/>
    </row>
    <row r="177" spans="25:27" hidden="1" x14ac:dyDescent="0.2">
      <c r="Y177" s="98"/>
      <c r="Z177" s="99"/>
      <c r="AA177" s="101"/>
    </row>
    <row r="178" spans="25:27" hidden="1" x14ac:dyDescent="0.2">
      <c r="Y178" s="98"/>
      <c r="Z178" s="99"/>
      <c r="AA178" s="101"/>
    </row>
    <row r="179" spans="25:27" hidden="1" x14ac:dyDescent="0.2">
      <c r="Y179" s="98"/>
      <c r="Z179" s="99"/>
      <c r="AA179" s="101"/>
    </row>
    <row r="180" spans="25:27" hidden="1" x14ac:dyDescent="0.2">
      <c r="Y180" s="98"/>
      <c r="Z180" s="99"/>
      <c r="AA180" s="101"/>
    </row>
    <row r="181" spans="25:27" hidden="1" x14ac:dyDescent="0.2">
      <c r="Y181" s="98"/>
      <c r="Z181" s="99"/>
      <c r="AA181" s="101"/>
    </row>
    <row r="182" spans="25:27" hidden="1" x14ac:dyDescent="0.2">
      <c r="Y182" s="98"/>
      <c r="Z182" s="99"/>
      <c r="AA182" s="101"/>
    </row>
    <row r="183" spans="25:27" hidden="1" x14ac:dyDescent="0.2">
      <c r="Y183" s="98"/>
      <c r="Z183" s="99"/>
      <c r="AA183" s="101"/>
    </row>
    <row r="184" spans="25:27" hidden="1" x14ac:dyDescent="0.2">
      <c r="Y184" s="98"/>
      <c r="Z184" s="99"/>
      <c r="AA184" s="101"/>
    </row>
    <row r="185" spans="25:27" hidden="1" x14ac:dyDescent="0.2">
      <c r="Y185" s="98"/>
      <c r="Z185" s="99"/>
      <c r="AA185" s="101"/>
    </row>
    <row r="186" spans="25:27" hidden="1" x14ac:dyDescent="0.2">
      <c r="Y186" s="98"/>
      <c r="Z186" s="99"/>
      <c r="AA186" s="101"/>
    </row>
    <row r="187" spans="25:27" hidden="1" x14ac:dyDescent="0.2">
      <c r="Y187" s="98"/>
      <c r="Z187" s="99"/>
      <c r="AA187" s="101"/>
    </row>
    <row r="188" spans="25:27" hidden="1" x14ac:dyDescent="0.2">
      <c r="Y188" s="98"/>
      <c r="Z188" s="99"/>
      <c r="AA188" s="101"/>
    </row>
    <row r="189" spans="25:27" hidden="1" x14ac:dyDescent="0.2">
      <c r="Y189" s="98"/>
      <c r="Z189" s="99"/>
      <c r="AA189" s="101"/>
    </row>
    <row r="190" spans="25:27" hidden="1" x14ac:dyDescent="0.2">
      <c r="Y190" s="98"/>
      <c r="Z190" s="99"/>
      <c r="AA190" s="101"/>
    </row>
    <row r="191" spans="25:27" hidden="1" x14ac:dyDescent="0.2">
      <c r="Y191" s="98"/>
      <c r="Z191" s="99"/>
      <c r="AA191" s="101"/>
    </row>
    <row r="192" spans="25:27" hidden="1" x14ac:dyDescent="0.2">
      <c r="Y192" s="98"/>
      <c r="Z192" s="99"/>
      <c r="AA192" s="101"/>
    </row>
    <row r="193" spans="25:27" hidden="1" x14ac:dyDescent="0.2">
      <c r="Y193" s="98"/>
      <c r="Z193" s="99"/>
      <c r="AA193" s="101"/>
    </row>
    <row r="194" spans="25:27" hidden="1" x14ac:dyDescent="0.2">
      <c r="Y194" s="98"/>
      <c r="Z194" s="99"/>
      <c r="AA194" s="101"/>
    </row>
    <row r="195" spans="25:27" hidden="1" x14ac:dyDescent="0.2">
      <c r="Y195" s="98"/>
      <c r="Z195" s="99"/>
      <c r="AA195" s="101"/>
    </row>
    <row r="196" spans="25:27" hidden="1" x14ac:dyDescent="0.2">
      <c r="Y196" s="98"/>
      <c r="Z196" s="99"/>
      <c r="AA196" s="101"/>
    </row>
    <row r="197" spans="25:27" hidden="1" x14ac:dyDescent="0.2">
      <c r="Y197" s="98"/>
      <c r="Z197" s="99"/>
      <c r="AA197" s="101"/>
    </row>
    <row r="198" spans="25:27" hidden="1" x14ac:dyDescent="0.2">
      <c r="Y198" s="98"/>
      <c r="Z198" s="99"/>
      <c r="AA198" s="101"/>
    </row>
    <row r="199" spans="25:27" hidden="1" x14ac:dyDescent="0.2">
      <c r="Y199" s="98"/>
      <c r="Z199" s="99"/>
      <c r="AA199" s="101"/>
    </row>
    <row r="200" spans="25:27" hidden="1" x14ac:dyDescent="0.2">
      <c r="Y200" s="98"/>
      <c r="Z200" s="99"/>
      <c r="AA200" s="101"/>
    </row>
    <row r="201" spans="25:27" hidden="1" x14ac:dyDescent="0.2">
      <c r="Y201" s="98"/>
      <c r="Z201" s="99"/>
      <c r="AA201" s="101"/>
    </row>
    <row r="202" spans="25:27" hidden="1" x14ac:dyDescent="0.2">
      <c r="Y202" s="98"/>
      <c r="Z202" s="99"/>
      <c r="AA202" s="101"/>
    </row>
    <row r="203" spans="25:27" hidden="1" x14ac:dyDescent="0.2">
      <c r="Y203" s="98"/>
      <c r="Z203" s="99"/>
      <c r="AA203" s="101"/>
    </row>
    <row r="204" spans="25:27" hidden="1" x14ac:dyDescent="0.2">
      <c r="Y204" s="98"/>
      <c r="Z204" s="99"/>
      <c r="AA204" s="101"/>
    </row>
    <row r="205" spans="25:27" hidden="1" x14ac:dyDescent="0.2">
      <c r="Y205" s="98"/>
      <c r="Z205" s="99"/>
      <c r="AA205" s="101"/>
    </row>
    <row r="206" spans="25:27" hidden="1" x14ac:dyDescent="0.2">
      <c r="Y206" s="98"/>
      <c r="Z206" s="99"/>
      <c r="AA206" s="101"/>
    </row>
    <row r="207" spans="25:27" hidden="1" x14ac:dyDescent="0.2">
      <c r="Y207" s="98"/>
      <c r="Z207" s="99"/>
      <c r="AA207" s="101"/>
    </row>
    <row r="208" spans="25:27" hidden="1" x14ac:dyDescent="0.2">
      <c r="Y208" s="98"/>
      <c r="Z208" s="99"/>
      <c r="AA208" s="101"/>
    </row>
    <row r="209" spans="25:27" hidden="1" x14ac:dyDescent="0.2">
      <c r="Y209" s="98"/>
      <c r="Z209" s="99"/>
      <c r="AA209" s="101"/>
    </row>
    <row r="210" spans="25:27" hidden="1" x14ac:dyDescent="0.2">
      <c r="Y210" s="98"/>
      <c r="Z210" s="99"/>
      <c r="AA210" s="101"/>
    </row>
    <row r="211" spans="25:27" hidden="1" x14ac:dyDescent="0.2">
      <c r="Y211" s="98"/>
      <c r="Z211" s="99"/>
      <c r="AA211" s="101"/>
    </row>
    <row r="212" spans="25:27" hidden="1" x14ac:dyDescent="0.2">
      <c r="Y212" s="98"/>
      <c r="Z212" s="99"/>
      <c r="AA212" s="101"/>
    </row>
    <row r="213" spans="25:27" hidden="1" x14ac:dyDescent="0.2">
      <c r="Y213" s="98"/>
      <c r="Z213" s="99"/>
      <c r="AA213" s="101"/>
    </row>
    <row r="214" spans="25:27" hidden="1" x14ac:dyDescent="0.2">
      <c r="Y214" s="98"/>
      <c r="Z214" s="99"/>
      <c r="AA214" s="101"/>
    </row>
    <row r="215" spans="25:27" hidden="1" x14ac:dyDescent="0.2">
      <c r="Y215" s="98"/>
      <c r="Z215" s="99"/>
      <c r="AA215" s="101"/>
    </row>
    <row r="216" spans="25:27" hidden="1" x14ac:dyDescent="0.2">
      <c r="Y216" s="98"/>
      <c r="Z216" s="99"/>
      <c r="AA216" s="101"/>
    </row>
    <row r="217" spans="25:27" hidden="1" x14ac:dyDescent="0.2">
      <c r="Y217" s="98"/>
      <c r="Z217" s="99"/>
      <c r="AA217" s="101"/>
    </row>
    <row r="218" spans="25:27" hidden="1" x14ac:dyDescent="0.2">
      <c r="Y218" s="98"/>
      <c r="Z218" s="99"/>
      <c r="AA218" s="101"/>
    </row>
    <row r="219" spans="25:27" hidden="1" x14ac:dyDescent="0.2">
      <c r="Y219" s="98"/>
      <c r="Z219" s="99"/>
      <c r="AA219" s="101"/>
    </row>
    <row r="220" spans="25:27" hidden="1" x14ac:dyDescent="0.2">
      <c r="Y220" s="98"/>
      <c r="Z220" s="99"/>
      <c r="AA220" s="101"/>
    </row>
    <row r="221" spans="25:27" hidden="1" x14ac:dyDescent="0.2">
      <c r="Y221" s="98"/>
      <c r="Z221" s="99"/>
      <c r="AA221" s="101"/>
    </row>
    <row r="222" spans="25:27" hidden="1" x14ac:dyDescent="0.2">
      <c r="Y222" s="98"/>
      <c r="Z222" s="99"/>
      <c r="AA222" s="101"/>
    </row>
    <row r="223" spans="25:27" hidden="1" x14ac:dyDescent="0.2">
      <c r="Y223" s="98"/>
      <c r="Z223" s="99"/>
      <c r="AA223" s="101"/>
    </row>
    <row r="224" spans="25:27" hidden="1" x14ac:dyDescent="0.2">
      <c r="Y224" s="98"/>
      <c r="Z224" s="99"/>
      <c r="AA224" s="101"/>
    </row>
    <row r="225" spans="25:27" hidden="1" x14ac:dyDescent="0.2">
      <c r="Y225" s="98"/>
      <c r="Z225" s="99"/>
      <c r="AA225" s="101"/>
    </row>
    <row r="226" spans="25:27" hidden="1" x14ac:dyDescent="0.2">
      <c r="Y226" s="98"/>
      <c r="Z226" s="99"/>
      <c r="AA226" s="101"/>
    </row>
    <row r="227" spans="25:27" hidden="1" x14ac:dyDescent="0.2">
      <c r="Y227" s="98"/>
      <c r="Z227" s="99"/>
      <c r="AA227" s="101"/>
    </row>
    <row r="228" spans="25:27" hidden="1" x14ac:dyDescent="0.2">
      <c r="Y228" s="98"/>
      <c r="Z228" s="99"/>
      <c r="AA228" s="101"/>
    </row>
    <row r="229" spans="25:27" hidden="1" x14ac:dyDescent="0.2">
      <c r="Y229" s="98"/>
      <c r="Z229" s="99"/>
      <c r="AA229" s="101"/>
    </row>
    <row r="230" spans="25:27" hidden="1" x14ac:dyDescent="0.2">
      <c r="Y230" s="98"/>
      <c r="Z230" s="99"/>
      <c r="AA230" s="101"/>
    </row>
    <row r="231" spans="25:27" hidden="1" x14ac:dyDescent="0.2">
      <c r="Y231" s="98"/>
      <c r="Z231" s="99"/>
      <c r="AA231" s="101"/>
    </row>
    <row r="232" spans="25:27" hidden="1" x14ac:dyDescent="0.2">
      <c r="Y232" s="98"/>
      <c r="Z232" s="99"/>
      <c r="AA232" s="101"/>
    </row>
    <row r="233" spans="25:27" hidden="1" x14ac:dyDescent="0.2">
      <c r="Y233" s="98"/>
      <c r="Z233" s="99"/>
      <c r="AA233" s="101"/>
    </row>
    <row r="234" spans="25:27" hidden="1" x14ac:dyDescent="0.2">
      <c r="Y234" s="98"/>
      <c r="Z234" s="99"/>
      <c r="AA234" s="101"/>
    </row>
    <row r="235" spans="25:27" hidden="1" x14ac:dyDescent="0.2">
      <c r="Y235" s="98"/>
      <c r="Z235" s="99"/>
      <c r="AA235" s="101"/>
    </row>
    <row r="236" spans="25:27" hidden="1" x14ac:dyDescent="0.2">
      <c r="Y236" s="98"/>
      <c r="Z236" s="99"/>
      <c r="AA236" s="101"/>
    </row>
    <row r="237" spans="25:27" hidden="1" x14ac:dyDescent="0.2">
      <c r="Y237" s="98"/>
      <c r="Z237" s="99"/>
      <c r="AA237" s="101"/>
    </row>
    <row r="238" spans="25:27" hidden="1" x14ac:dyDescent="0.2">
      <c r="Y238" s="98"/>
      <c r="Z238" s="99"/>
      <c r="AA238" s="101"/>
    </row>
    <row r="239" spans="25:27" hidden="1" x14ac:dyDescent="0.2">
      <c r="Y239" s="98"/>
      <c r="Z239" s="99"/>
      <c r="AA239" s="101"/>
    </row>
    <row r="240" spans="25:27" hidden="1" x14ac:dyDescent="0.2">
      <c r="Y240" s="98"/>
      <c r="Z240" s="99"/>
      <c r="AA240" s="101"/>
    </row>
    <row r="241" spans="25:27" hidden="1" x14ac:dyDescent="0.2">
      <c r="Y241" s="98"/>
      <c r="Z241" s="99"/>
      <c r="AA241" s="101"/>
    </row>
    <row r="242" spans="25:27" hidden="1" x14ac:dyDescent="0.2">
      <c r="Y242" s="98"/>
      <c r="Z242" s="99"/>
      <c r="AA242" s="101"/>
    </row>
    <row r="243" spans="25:27" hidden="1" x14ac:dyDescent="0.2">
      <c r="Y243" s="98"/>
      <c r="Z243" s="99"/>
      <c r="AA243" s="101"/>
    </row>
    <row r="244" spans="25:27" hidden="1" x14ac:dyDescent="0.2">
      <c r="Y244" s="98"/>
      <c r="Z244" s="99"/>
      <c r="AA244" s="101"/>
    </row>
    <row r="245" spans="25:27" hidden="1" x14ac:dyDescent="0.2">
      <c r="Y245" s="98"/>
      <c r="Z245" s="99"/>
      <c r="AA245" s="101"/>
    </row>
    <row r="246" spans="25:27" hidden="1" x14ac:dyDescent="0.2">
      <c r="Y246" s="98"/>
      <c r="Z246" s="99"/>
      <c r="AA246" s="101"/>
    </row>
    <row r="247" spans="25:27" hidden="1" x14ac:dyDescent="0.2">
      <c r="Y247" s="98"/>
      <c r="Z247" s="99"/>
      <c r="AA247" s="101"/>
    </row>
    <row r="248" spans="25:27" hidden="1" x14ac:dyDescent="0.2">
      <c r="Y248" s="98"/>
      <c r="Z248" s="99"/>
      <c r="AA248" s="101"/>
    </row>
    <row r="249" spans="25:27" hidden="1" x14ac:dyDescent="0.2">
      <c r="Y249" s="98"/>
      <c r="Z249" s="99"/>
      <c r="AA249" s="101"/>
    </row>
    <row r="250" spans="25:27" hidden="1" x14ac:dyDescent="0.2">
      <c r="Y250" s="98"/>
      <c r="Z250" s="99"/>
      <c r="AA250" s="101"/>
    </row>
    <row r="251" spans="25:27" hidden="1" x14ac:dyDescent="0.2">
      <c r="Y251" s="98"/>
      <c r="Z251" s="99"/>
      <c r="AA251" s="101"/>
    </row>
    <row r="252" spans="25:27" hidden="1" x14ac:dyDescent="0.2">
      <c r="Y252" s="98"/>
      <c r="Z252" s="99"/>
      <c r="AA252" s="101"/>
    </row>
    <row r="253" spans="25:27" hidden="1" x14ac:dyDescent="0.2">
      <c r="Y253" s="98"/>
      <c r="Z253" s="99"/>
      <c r="AA253" s="101"/>
    </row>
    <row r="254" spans="25:27" hidden="1" x14ac:dyDescent="0.2">
      <c r="Y254" s="98"/>
      <c r="Z254" s="99"/>
      <c r="AA254" s="101"/>
    </row>
    <row r="255" spans="25:27" hidden="1" x14ac:dyDescent="0.2">
      <c r="Y255" s="98"/>
      <c r="Z255" s="99"/>
      <c r="AA255" s="101"/>
    </row>
    <row r="256" spans="25:27" hidden="1" x14ac:dyDescent="0.2">
      <c r="Y256" s="98"/>
      <c r="Z256" s="99"/>
      <c r="AA256" s="101"/>
    </row>
    <row r="257" spans="25:27" hidden="1" x14ac:dyDescent="0.2">
      <c r="Y257" s="98"/>
      <c r="Z257" s="99"/>
      <c r="AA257" s="101"/>
    </row>
    <row r="258" spans="25:27" hidden="1" x14ac:dyDescent="0.2">
      <c r="Y258" s="98"/>
      <c r="Z258" s="99"/>
      <c r="AA258" s="101"/>
    </row>
    <row r="259" spans="25:27" hidden="1" x14ac:dyDescent="0.2">
      <c r="Y259" s="98"/>
      <c r="Z259" s="99"/>
      <c r="AA259" s="101"/>
    </row>
    <row r="260" spans="25:27" hidden="1" x14ac:dyDescent="0.2">
      <c r="Y260" s="98"/>
      <c r="Z260" s="99"/>
      <c r="AA260" s="101"/>
    </row>
    <row r="261" spans="25:27" hidden="1" x14ac:dyDescent="0.2">
      <c r="Y261" s="98"/>
      <c r="Z261" s="99"/>
      <c r="AA261" s="101"/>
    </row>
    <row r="262" spans="25:27" hidden="1" x14ac:dyDescent="0.2">
      <c r="Y262" s="98"/>
      <c r="Z262" s="99"/>
      <c r="AA262" s="101"/>
    </row>
    <row r="263" spans="25:27" hidden="1" x14ac:dyDescent="0.2">
      <c r="Y263" s="98"/>
      <c r="Z263" s="99"/>
      <c r="AA263" s="101"/>
    </row>
    <row r="264" spans="25:27" hidden="1" x14ac:dyDescent="0.2">
      <c r="Y264" s="98"/>
      <c r="Z264" s="99"/>
      <c r="AA264" s="101"/>
    </row>
    <row r="265" spans="25:27" hidden="1" x14ac:dyDescent="0.2">
      <c r="Y265" s="98"/>
      <c r="Z265" s="99"/>
      <c r="AA265" s="101"/>
    </row>
    <row r="266" spans="25:27" hidden="1" x14ac:dyDescent="0.2">
      <c r="Y266" s="98"/>
      <c r="Z266" s="99"/>
      <c r="AA266" s="101"/>
    </row>
    <row r="267" spans="25:27" hidden="1" x14ac:dyDescent="0.2">
      <c r="Y267" s="98"/>
      <c r="Z267" s="99"/>
      <c r="AA267" s="101"/>
    </row>
    <row r="268" spans="25:27" hidden="1" x14ac:dyDescent="0.2">
      <c r="Y268" s="98"/>
      <c r="Z268" s="99"/>
      <c r="AA268" s="101"/>
    </row>
    <row r="269" spans="25:27" hidden="1" x14ac:dyDescent="0.2">
      <c r="Y269" s="98"/>
      <c r="Z269" s="99"/>
      <c r="AA269" s="101"/>
    </row>
    <row r="270" spans="25:27" hidden="1" x14ac:dyDescent="0.2">
      <c r="Y270" s="98"/>
      <c r="Z270" s="99"/>
      <c r="AA270" s="101"/>
    </row>
    <row r="271" spans="25:27" hidden="1" x14ac:dyDescent="0.2">
      <c r="Y271" s="98"/>
      <c r="Z271" s="99"/>
      <c r="AA271" s="101"/>
    </row>
    <row r="272" spans="25:27" hidden="1" x14ac:dyDescent="0.2">
      <c r="Y272" s="98"/>
      <c r="Z272" s="99"/>
      <c r="AA272" s="101"/>
    </row>
    <row r="273" spans="25:27" hidden="1" x14ac:dyDescent="0.2">
      <c r="Y273" s="98"/>
      <c r="Z273" s="99"/>
      <c r="AA273" s="101"/>
    </row>
    <row r="274" spans="25:27" hidden="1" x14ac:dyDescent="0.2">
      <c r="Y274" s="98"/>
      <c r="Z274" s="99"/>
      <c r="AA274" s="101"/>
    </row>
    <row r="275" spans="25:27" hidden="1" x14ac:dyDescent="0.2">
      <c r="Y275" s="98"/>
      <c r="Z275" s="99"/>
      <c r="AA275" s="101"/>
    </row>
    <row r="276" spans="25:27" hidden="1" x14ac:dyDescent="0.2">
      <c r="Y276" s="98"/>
      <c r="Z276" s="99"/>
      <c r="AA276" s="101"/>
    </row>
    <row r="277" spans="25:27" hidden="1" x14ac:dyDescent="0.2">
      <c r="Y277" s="98"/>
      <c r="Z277" s="99"/>
      <c r="AA277" s="101"/>
    </row>
    <row r="278" spans="25:27" hidden="1" x14ac:dyDescent="0.2">
      <c r="Y278" s="98"/>
      <c r="Z278" s="99"/>
      <c r="AA278" s="101"/>
    </row>
    <row r="279" spans="25:27" hidden="1" x14ac:dyDescent="0.2">
      <c r="Y279" s="98"/>
      <c r="Z279" s="99"/>
      <c r="AA279" s="101"/>
    </row>
    <row r="280" spans="25:27" hidden="1" x14ac:dyDescent="0.2">
      <c r="Y280" s="98"/>
      <c r="Z280" s="99"/>
      <c r="AA280" s="101"/>
    </row>
    <row r="281" spans="25:27" hidden="1" x14ac:dyDescent="0.2">
      <c r="Y281" s="98"/>
      <c r="Z281" s="99"/>
      <c r="AA281" s="101"/>
    </row>
    <row r="282" spans="25:27" hidden="1" x14ac:dyDescent="0.2">
      <c r="Y282" s="98"/>
      <c r="Z282" s="99"/>
      <c r="AA282" s="101"/>
    </row>
    <row r="283" spans="25:27" hidden="1" x14ac:dyDescent="0.2">
      <c r="Y283" s="98"/>
      <c r="Z283" s="99"/>
      <c r="AA283" s="101"/>
    </row>
    <row r="284" spans="25:27" hidden="1" x14ac:dyDescent="0.2">
      <c r="Y284" s="98"/>
      <c r="Z284" s="99"/>
      <c r="AA284" s="101"/>
    </row>
    <row r="285" spans="25:27" hidden="1" x14ac:dyDescent="0.2">
      <c r="Y285" s="98"/>
      <c r="Z285" s="99"/>
      <c r="AA285" s="101"/>
    </row>
    <row r="286" spans="25:27" hidden="1" x14ac:dyDescent="0.2">
      <c r="Y286" s="98"/>
      <c r="Z286" s="99"/>
      <c r="AA286" s="101"/>
    </row>
    <row r="287" spans="25:27" hidden="1" x14ac:dyDescent="0.2">
      <c r="Y287" s="98"/>
      <c r="Z287" s="99"/>
      <c r="AA287" s="101"/>
    </row>
    <row r="288" spans="25:27" hidden="1" x14ac:dyDescent="0.2">
      <c r="Y288" s="98"/>
      <c r="Z288" s="99"/>
      <c r="AA288" s="101"/>
    </row>
    <row r="289" spans="25:27" hidden="1" x14ac:dyDescent="0.2">
      <c r="Y289" s="98"/>
      <c r="Z289" s="99"/>
      <c r="AA289" s="101"/>
    </row>
    <row r="290" spans="25:27" hidden="1" x14ac:dyDescent="0.2">
      <c r="Y290" s="98"/>
      <c r="Z290" s="99"/>
      <c r="AA290" s="101"/>
    </row>
    <row r="291" spans="25:27" hidden="1" x14ac:dyDescent="0.2">
      <c r="Y291" s="98"/>
      <c r="Z291" s="99"/>
      <c r="AA291" s="101"/>
    </row>
    <row r="292" spans="25:27" hidden="1" x14ac:dyDescent="0.2">
      <c r="Y292" s="98"/>
      <c r="Z292" s="99"/>
      <c r="AA292" s="101"/>
    </row>
    <row r="293" spans="25:27" hidden="1" x14ac:dyDescent="0.2">
      <c r="Y293" s="98"/>
      <c r="Z293" s="99"/>
      <c r="AA293" s="101"/>
    </row>
    <row r="294" spans="25:27" hidden="1" x14ac:dyDescent="0.2">
      <c r="Y294" s="98"/>
      <c r="Z294" s="99"/>
      <c r="AA294" s="101"/>
    </row>
    <row r="295" spans="25:27" hidden="1" x14ac:dyDescent="0.2">
      <c r="Y295" s="98"/>
      <c r="Z295" s="99"/>
      <c r="AA295" s="101"/>
    </row>
    <row r="296" spans="25:27" hidden="1" x14ac:dyDescent="0.2">
      <c r="Y296" s="98"/>
      <c r="Z296" s="99"/>
      <c r="AA296" s="101"/>
    </row>
    <row r="297" spans="25:27" hidden="1" x14ac:dyDescent="0.2">
      <c r="Y297" s="98"/>
      <c r="Z297" s="99"/>
      <c r="AA297" s="101"/>
    </row>
    <row r="298" spans="25:27" hidden="1" x14ac:dyDescent="0.2">
      <c r="Y298" s="98"/>
      <c r="Z298" s="99"/>
      <c r="AA298" s="101"/>
    </row>
    <row r="299" spans="25:27" hidden="1" x14ac:dyDescent="0.2">
      <c r="Y299" s="98"/>
      <c r="Z299" s="99"/>
      <c r="AA299" s="101"/>
    </row>
    <row r="300" spans="25:27" hidden="1" x14ac:dyDescent="0.2">
      <c r="Y300" s="98"/>
      <c r="Z300" s="99"/>
      <c r="AA300" s="101"/>
    </row>
    <row r="301" spans="25:27" hidden="1" x14ac:dyDescent="0.2">
      <c r="Y301" s="98"/>
      <c r="Z301" s="99"/>
      <c r="AA301" s="101"/>
    </row>
    <row r="302" spans="25:27" hidden="1" x14ac:dyDescent="0.2">
      <c r="Y302" s="98"/>
      <c r="Z302" s="99"/>
      <c r="AA302" s="101"/>
    </row>
    <row r="303" spans="25:27" hidden="1" x14ac:dyDescent="0.2">
      <c r="Y303" s="98"/>
      <c r="Z303" s="99"/>
      <c r="AA303" s="101"/>
    </row>
    <row r="304" spans="25:27" hidden="1" x14ac:dyDescent="0.2">
      <c r="Y304" s="98"/>
      <c r="Z304" s="99"/>
      <c r="AA304" s="101"/>
    </row>
    <row r="305" spans="25:27" hidden="1" x14ac:dyDescent="0.2">
      <c r="Y305" s="98"/>
      <c r="Z305" s="99"/>
      <c r="AA305" s="101"/>
    </row>
    <row r="306" spans="25:27" hidden="1" x14ac:dyDescent="0.2">
      <c r="Y306" s="98"/>
      <c r="Z306" s="99"/>
      <c r="AA306" s="101"/>
    </row>
    <row r="307" spans="25:27" hidden="1" x14ac:dyDescent="0.2">
      <c r="Y307" s="98"/>
      <c r="Z307" s="99"/>
      <c r="AA307" s="101"/>
    </row>
    <row r="308" spans="25:27" hidden="1" x14ac:dyDescent="0.2">
      <c r="Y308" s="98"/>
      <c r="Z308" s="99"/>
      <c r="AA308" s="101"/>
    </row>
    <row r="309" spans="25:27" hidden="1" x14ac:dyDescent="0.2">
      <c r="Y309" s="98"/>
      <c r="Z309" s="99"/>
      <c r="AA309" s="101"/>
    </row>
    <row r="310" spans="25:27" hidden="1" x14ac:dyDescent="0.2">
      <c r="Y310" s="98"/>
      <c r="Z310" s="99"/>
      <c r="AA310" s="101"/>
    </row>
    <row r="311" spans="25:27" hidden="1" x14ac:dyDescent="0.2">
      <c r="Y311" s="98"/>
      <c r="Z311" s="99"/>
      <c r="AA311" s="101"/>
    </row>
    <row r="312" spans="25:27" hidden="1" x14ac:dyDescent="0.2">
      <c r="Y312" s="98"/>
      <c r="Z312" s="99"/>
      <c r="AA312" s="101"/>
    </row>
    <row r="313" spans="25:27" hidden="1" x14ac:dyDescent="0.2">
      <c r="Y313" s="98"/>
      <c r="Z313" s="99"/>
      <c r="AA313" s="101"/>
    </row>
    <row r="314" spans="25:27" hidden="1" x14ac:dyDescent="0.2">
      <c r="Y314" s="98"/>
      <c r="Z314" s="99"/>
      <c r="AA314" s="101"/>
    </row>
    <row r="315" spans="25:27" hidden="1" x14ac:dyDescent="0.2">
      <c r="Y315" s="98"/>
      <c r="Z315" s="99"/>
      <c r="AA315" s="101"/>
    </row>
    <row r="316" spans="25:27" hidden="1" x14ac:dyDescent="0.2">
      <c r="Y316" s="98"/>
      <c r="Z316" s="99"/>
      <c r="AA316" s="101"/>
    </row>
    <row r="317" spans="25:27" hidden="1" x14ac:dyDescent="0.2">
      <c r="Y317" s="98"/>
      <c r="Z317" s="99"/>
      <c r="AA317" s="101"/>
    </row>
    <row r="318" spans="25:27" hidden="1" x14ac:dyDescent="0.2">
      <c r="Y318" s="98"/>
      <c r="Z318" s="99"/>
      <c r="AA318" s="101"/>
    </row>
    <row r="319" spans="25:27" hidden="1" x14ac:dyDescent="0.2">
      <c r="Y319" s="98"/>
      <c r="Z319" s="99"/>
      <c r="AA319" s="101"/>
    </row>
    <row r="320" spans="25:27" hidden="1" x14ac:dyDescent="0.2">
      <c r="Y320" s="98"/>
      <c r="Z320" s="99"/>
      <c r="AA320" s="101"/>
    </row>
    <row r="321" spans="25:27" hidden="1" x14ac:dyDescent="0.2">
      <c r="Y321" s="98"/>
      <c r="Z321" s="99"/>
      <c r="AA321" s="101"/>
    </row>
    <row r="322" spans="25:27" hidden="1" x14ac:dyDescent="0.2">
      <c r="Y322" s="98"/>
      <c r="Z322" s="99"/>
      <c r="AA322" s="101"/>
    </row>
    <row r="323" spans="25:27" hidden="1" x14ac:dyDescent="0.2">
      <c r="Y323" s="98"/>
      <c r="Z323" s="99"/>
      <c r="AA323" s="101"/>
    </row>
    <row r="324" spans="25:27" hidden="1" x14ac:dyDescent="0.2">
      <c r="Y324" s="98"/>
      <c r="Z324" s="99"/>
      <c r="AA324" s="101"/>
    </row>
    <row r="325" spans="25:27" hidden="1" x14ac:dyDescent="0.2">
      <c r="Y325" s="98"/>
      <c r="Z325" s="99"/>
      <c r="AA325" s="101"/>
    </row>
    <row r="326" spans="25:27" hidden="1" x14ac:dyDescent="0.2">
      <c r="Y326" s="98"/>
      <c r="Z326" s="99"/>
      <c r="AA326" s="101"/>
    </row>
    <row r="327" spans="25:27" hidden="1" x14ac:dyDescent="0.2">
      <c r="Y327" s="98"/>
      <c r="Z327" s="99"/>
      <c r="AA327" s="101"/>
    </row>
    <row r="328" spans="25:27" hidden="1" x14ac:dyDescent="0.2">
      <c r="Y328" s="98"/>
      <c r="Z328" s="99"/>
      <c r="AA328" s="101"/>
    </row>
    <row r="329" spans="25:27" hidden="1" x14ac:dyDescent="0.2">
      <c r="Y329" s="98"/>
      <c r="Z329" s="99"/>
      <c r="AA329" s="101"/>
    </row>
    <row r="330" spans="25:27" hidden="1" x14ac:dyDescent="0.2">
      <c r="Y330" s="98"/>
      <c r="Z330" s="99"/>
      <c r="AA330" s="101"/>
    </row>
    <row r="331" spans="25:27" hidden="1" x14ac:dyDescent="0.2">
      <c r="Y331" s="98"/>
      <c r="Z331" s="99"/>
      <c r="AA331" s="101"/>
    </row>
    <row r="332" spans="25:27" hidden="1" x14ac:dyDescent="0.2">
      <c r="Y332" s="98"/>
      <c r="Z332" s="99"/>
      <c r="AA332" s="101"/>
    </row>
    <row r="333" spans="25:27" hidden="1" x14ac:dyDescent="0.2">
      <c r="Y333" s="98"/>
      <c r="Z333" s="99"/>
      <c r="AA333" s="101"/>
    </row>
    <row r="334" spans="25:27" hidden="1" x14ac:dyDescent="0.2">
      <c r="Y334" s="98"/>
      <c r="Z334" s="99"/>
      <c r="AA334" s="101"/>
    </row>
    <row r="335" spans="25:27" hidden="1" x14ac:dyDescent="0.2">
      <c r="Y335" s="98"/>
      <c r="Z335" s="99"/>
      <c r="AA335" s="101"/>
    </row>
    <row r="336" spans="25:27" hidden="1" x14ac:dyDescent="0.2">
      <c r="Y336" s="98"/>
      <c r="Z336" s="99"/>
      <c r="AA336" s="101"/>
    </row>
    <row r="337" spans="25:27" hidden="1" x14ac:dyDescent="0.2">
      <c r="Y337" s="98"/>
      <c r="Z337" s="99"/>
      <c r="AA337" s="101"/>
    </row>
    <row r="338" spans="25:27" hidden="1" x14ac:dyDescent="0.2">
      <c r="Y338" s="98"/>
      <c r="Z338" s="99"/>
      <c r="AA338" s="101"/>
    </row>
    <row r="339" spans="25:27" hidden="1" x14ac:dyDescent="0.2">
      <c r="Y339" s="98"/>
      <c r="Z339" s="99"/>
      <c r="AA339" s="101"/>
    </row>
    <row r="340" spans="25:27" hidden="1" x14ac:dyDescent="0.2">
      <c r="Y340" s="98"/>
      <c r="Z340" s="99"/>
      <c r="AA340" s="101"/>
    </row>
    <row r="341" spans="25:27" hidden="1" x14ac:dyDescent="0.2">
      <c r="Y341" s="98"/>
      <c r="Z341" s="99"/>
      <c r="AA341" s="101"/>
    </row>
    <row r="342" spans="25:27" hidden="1" x14ac:dyDescent="0.2">
      <c r="Y342" s="98"/>
      <c r="Z342" s="99"/>
      <c r="AA342" s="101"/>
    </row>
    <row r="343" spans="25:27" hidden="1" x14ac:dyDescent="0.2">
      <c r="Y343" s="98"/>
      <c r="Z343" s="99"/>
      <c r="AA343" s="101"/>
    </row>
    <row r="344" spans="25:27" hidden="1" x14ac:dyDescent="0.2">
      <c r="Y344" s="98"/>
      <c r="Z344" s="99"/>
      <c r="AA344" s="101"/>
    </row>
    <row r="345" spans="25:27" hidden="1" x14ac:dyDescent="0.2">
      <c r="Y345" s="98"/>
      <c r="Z345" s="99"/>
      <c r="AA345" s="101"/>
    </row>
    <row r="346" spans="25:27" hidden="1" x14ac:dyDescent="0.2">
      <c r="Y346" s="98"/>
      <c r="Z346" s="99"/>
      <c r="AA346" s="101"/>
    </row>
    <row r="347" spans="25:27" hidden="1" x14ac:dyDescent="0.2">
      <c r="Y347" s="98"/>
      <c r="Z347" s="99"/>
      <c r="AA347" s="101"/>
    </row>
    <row r="348" spans="25:27" hidden="1" x14ac:dyDescent="0.2">
      <c r="Y348" s="98"/>
      <c r="Z348" s="99"/>
      <c r="AA348" s="101"/>
    </row>
    <row r="349" spans="25:27" hidden="1" x14ac:dyDescent="0.2">
      <c r="Y349" s="98"/>
      <c r="Z349" s="99"/>
      <c r="AA349" s="101"/>
    </row>
    <row r="350" spans="25:27" hidden="1" x14ac:dyDescent="0.2">
      <c r="Y350" s="98"/>
      <c r="Z350" s="99"/>
      <c r="AA350" s="101"/>
    </row>
    <row r="351" spans="25:27" hidden="1" x14ac:dyDescent="0.2">
      <c r="Y351" s="98"/>
      <c r="Z351" s="99"/>
      <c r="AA351" s="101"/>
    </row>
    <row r="352" spans="25:27" hidden="1" x14ac:dyDescent="0.2">
      <c r="Y352" s="98"/>
      <c r="Z352" s="99"/>
      <c r="AA352" s="101"/>
    </row>
    <row r="353" spans="25:27" hidden="1" x14ac:dyDescent="0.2">
      <c r="Y353" s="98"/>
      <c r="Z353" s="99"/>
      <c r="AA353" s="101"/>
    </row>
    <row r="354" spans="25:27" hidden="1" x14ac:dyDescent="0.2">
      <c r="Y354" s="98"/>
      <c r="Z354" s="99"/>
      <c r="AA354" s="101"/>
    </row>
    <row r="355" spans="25:27" hidden="1" x14ac:dyDescent="0.2">
      <c r="Y355" s="98"/>
      <c r="Z355" s="99"/>
      <c r="AA355" s="101"/>
    </row>
    <row r="356" spans="25:27" hidden="1" x14ac:dyDescent="0.2">
      <c r="Y356" s="98"/>
      <c r="Z356" s="99"/>
      <c r="AA356" s="101"/>
    </row>
    <row r="357" spans="25:27" hidden="1" x14ac:dyDescent="0.2">
      <c r="Y357" s="98"/>
      <c r="Z357" s="99"/>
      <c r="AA357" s="101"/>
    </row>
    <row r="358" spans="25:27" hidden="1" x14ac:dyDescent="0.2">
      <c r="Y358" s="98"/>
      <c r="Z358" s="99"/>
      <c r="AA358" s="101"/>
    </row>
    <row r="359" spans="25:27" hidden="1" x14ac:dyDescent="0.2">
      <c r="Y359" s="98"/>
      <c r="Z359" s="99"/>
      <c r="AA359" s="101"/>
    </row>
    <row r="360" spans="25:27" hidden="1" x14ac:dyDescent="0.2">
      <c r="Y360" s="98"/>
      <c r="Z360" s="99"/>
      <c r="AA360" s="101"/>
    </row>
    <row r="361" spans="25:27" hidden="1" x14ac:dyDescent="0.2">
      <c r="Y361" s="98"/>
      <c r="Z361" s="99"/>
      <c r="AA361" s="101"/>
    </row>
    <row r="362" spans="25:27" hidden="1" x14ac:dyDescent="0.2">
      <c r="Y362" s="98"/>
      <c r="Z362" s="99"/>
      <c r="AA362" s="101"/>
    </row>
    <row r="363" spans="25:27" hidden="1" x14ac:dyDescent="0.2">
      <c r="Y363" s="98"/>
      <c r="Z363" s="99"/>
      <c r="AA363" s="101"/>
    </row>
    <row r="364" spans="25:27" hidden="1" x14ac:dyDescent="0.2">
      <c r="Y364" s="98"/>
      <c r="Z364" s="99"/>
      <c r="AA364" s="101"/>
    </row>
    <row r="365" spans="25:27" hidden="1" x14ac:dyDescent="0.2">
      <c r="Y365" s="98"/>
      <c r="Z365" s="99"/>
      <c r="AA365" s="101"/>
    </row>
    <row r="366" spans="25:27" hidden="1" x14ac:dyDescent="0.2">
      <c r="Y366" s="98"/>
      <c r="Z366" s="99"/>
      <c r="AA366" s="101"/>
    </row>
    <row r="367" spans="25:27" hidden="1" x14ac:dyDescent="0.2">
      <c r="Y367" s="98"/>
      <c r="Z367" s="99"/>
      <c r="AA367" s="101"/>
    </row>
    <row r="368" spans="25:27" hidden="1" x14ac:dyDescent="0.2">
      <c r="Y368" s="98"/>
      <c r="Z368" s="99"/>
      <c r="AA368" s="101"/>
    </row>
    <row r="369" spans="25:27" hidden="1" x14ac:dyDescent="0.2">
      <c r="Y369" s="98"/>
      <c r="Z369" s="99"/>
      <c r="AA369" s="101"/>
    </row>
    <row r="370" spans="25:27" hidden="1" x14ac:dyDescent="0.2">
      <c r="Y370" s="98"/>
      <c r="Z370" s="99"/>
      <c r="AA370" s="101"/>
    </row>
    <row r="371" spans="25:27" hidden="1" x14ac:dyDescent="0.2">
      <c r="Y371" s="98"/>
      <c r="Z371" s="99"/>
      <c r="AA371" s="101"/>
    </row>
    <row r="372" spans="25:27" hidden="1" x14ac:dyDescent="0.2">
      <c r="Y372" s="98"/>
      <c r="Z372" s="99"/>
      <c r="AA372" s="101"/>
    </row>
    <row r="373" spans="25:27" hidden="1" x14ac:dyDescent="0.2">
      <c r="Y373" s="98"/>
      <c r="Z373" s="99"/>
      <c r="AA373" s="101"/>
    </row>
    <row r="374" spans="25:27" hidden="1" x14ac:dyDescent="0.2">
      <c r="Y374" s="98"/>
      <c r="Z374" s="99"/>
      <c r="AA374" s="101"/>
    </row>
    <row r="375" spans="25:27" hidden="1" x14ac:dyDescent="0.2">
      <c r="Y375" s="98"/>
      <c r="Z375" s="99"/>
      <c r="AA375" s="101"/>
    </row>
    <row r="376" spans="25:27" hidden="1" x14ac:dyDescent="0.2">
      <c r="Y376" s="98"/>
      <c r="Z376" s="99"/>
      <c r="AA376" s="101"/>
    </row>
    <row r="377" spans="25:27" hidden="1" x14ac:dyDescent="0.2">
      <c r="Y377" s="98"/>
      <c r="Z377" s="99"/>
      <c r="AA377" s="101"/>
    </row>
    <row r="378" spans="25:27" hidden="1" x14ac:dyDescent="0.2">
      <c r="Y378" s="98"/>
      <c r="Z378" s="99"/>
      <c r="AA378" s="101"/>
    </row>
    <row r="379" spans="25:27" hidden="1" x14ac:dyDescent="0.2">
      <c r="Y379" s="98"/>
      <c r="Z379" s="99"/>
      <c r="AA379" s="101"/>
    </row>
    <row r="380" spans="25:27" hidden="1" x14ac:dyDescent="0.2">
      <c r="Y380" s="98"/>
      <c r="Z380" s="99"/>
      <c r="AA380" s="101"/>
    </row>
    <row r="381" spans="25:27" hidden="1" x14ac:dyDescent="0.2">
      <c r="Y381" s="98"/>
      <c r="Z381" s="99"/>
      <c r="AA381" s="101"/>
    </row>
    <row r="382" spans="25:27" hidden="1" x14ac:dyDescent="0.2">
      <c r="Y382" s="98"/>
      <c r="Z382" s="99"/>
      <c r="AA382" s="101"/>
    </row>
    <row r="383" spans="25:27" hidden="1" x14ac:dyDescent="0.2">
      <c r="Y383" s="98"/>
      <c r="Z383" s="99"/>
      <c r="AA383" s="101"/>
    </row>
    <row r="384" spans="25:27" hidden="1" x14ac:dyDescent="0.2">
      <c r="Y384" s="98"/>
      <c r="Z384" s="99"/>
      <c r="AA384" s="101"/>
    </row>
    <row r="385" spans="25:27" hidden="1" x14ac:dyDescent="0.2">
      <c r="Y385" s="98"/>
      <c r="Z385" s="99"/>
      <c r="AA385" s="101"/>
    </row>
    <row r="386" spans="25:27" hidden="1" x14ac:dyDescent="0.2">
      <c r="Y386" s="98"/>
      <c r="Z386" s="99"/>
      <c r="AA386" s="101"/>
    </row>
    <row r="387" spans="25:27" hidden="1" x14ac:dyDescent="0.2">
      <c r="Y387" s="98"/>
      <c r="Z387" s="99"/>
      <c r="AA387" s="101"/>
    </row>
    <row r="388" spans="25:27" hidden="1" x14ac:dyDescent="0.2">
      <c r="Y388" s="98"/>
      <c r="Z388" s="99"/>
      <c r="AA388" s="101"/>
    </row>
    <row r="389" spans="25:27" hidden="1" x14ac:dyDescent="0.2">
      <c r="Y389" s="98"/>
      <c r="Z389" s="99"/>
      <c r="AA389" s="101"/>
    </row>
    <row r="390" spans="25:27" hidden="1" x14ac:dyDescent="0.2">
      <c r="Y390" s="98"/>
      <c r="Z390" s="99"/>
      <c r="AA390" s="101"/>
    </row>
    <row r="391" spans="25:27" hidden="1" x14ac:dyDescent="0.2">
      <c r="Y391" s="98"/>
      <c r="Z391" s="99"/>
      <c r="AA391" s="101"/>
    </row>
    <row r="392" spans="25:27" hidden="1" x14ac:dyDescent="0.2">
      <c r="Y392" s="98"/>
      <c r="Z392" s="99"/>
      <c r="AA392" s="101"/>
    </row>
    <row r="393" spans="25:27" hidden="1" x14ac:dyDescent="0.2">
      <c r="Y393" s="98"/>
      <c r="Z393" s="99"/>
      <c r="AA393" s="101"/>
    </row>
    <row r="394" spans="25:27" hidden="1" x14ac:dyDescent="0.2">
      <c r="Y394" s="98"/>
      <c r="Z394" s="99"/>
      <c r="AA394" s="101"/>
    </row>
    <row r="395" spans="25:27" hidden="1" x14ac:dyDescent="0.2">
      <c r="Y395" s="98"/>
      <c r="Z395" s="99"/>
      <c r="AA395" s="101"/>
    </row>
    <row r="396" spans="25:27" hidden="1" x14ac:dyDescent="0.2">
      <c r="Y396" s="98"/>
      <c r="Z396" s="99"/>
      <c r="AA396" s="101"/>
    </row>
    <row r="397" spans="25:27" hidden="1" x14ac:dyDescent="0.2">
      <c r="Y397" s="98"/>
      <c r="Z397" s="99"/>
      <c r="AA397" s="101"/>
    </row>
    <row r="398" spans="25:27" hidden="1" x14ac:dyDescent="0.2">
      <c r="Y398" s="98"/>
      <c r="Z398" s="99"/>
      <c r="AA398" s="101"/>
    </row>
    <row r="399" spans="25:27" hidden="1" x14ac:dyDescent="0.2">
      <c r="Y399" s="98"/>
      <c r="Z399" s="99"/>
      <c r="AA399" s="101"/>
    </row>
    <row r="400" spans="25:27" hidden="1" x14ac:dyDescent="0.2">
      <c r="Y400" s="98"/>
      <c r="Z400" s="99"/>
      <c r="AA400" s="101"/>
    </row>
    <row r="401" spans="25:27" hidden="1" x14ac:dyDescent="0.2">
      <c r="Y401" s="98"/>
      <c r="Z401" s="99"/>
      <c r="AA401" s="101"/>
    </row>
    <row r="402" spans="25:27" hidden="1" x14ac:dyDescent="0.2">
      <c r="Y402" s="98"/>
      <c r="Z402" s="99"/>
      <c r="AA402" s="101"/>
    </row>
    <row r="403" spans="25:27" hidden="1" x14ac:dyDescent="0.2">
      <c r="Y403" s="98"/>
      <c r="Z403" s="99"/>
      <c r="AA403" s="101"/>
    </row>
    <row r="404" spans="25:27" hidden="1" x14ac:dyDescent="0.2">
      <c r="Y404" s="98"/>
      <c r="Z404" s="99"/>
      <c r="AA404" s="101"/>
    </row>
    <row r="405" spans="25:27" hidden="1" x14ac:dyDescent="0.2">
      <c r="Y405" s="98"/>
      <c r="Z405" s="99"/>
      <c r="AA405" s="101"/>
    </row>
    <row r="406" spans="25:27" hidden="1" x14ac:dyDescent="0.2">
      <c r="Y406" s="98"/>
      <c r="Z406" s="99"/>
      <c r="AA406" s="101"/>
    </row>
    <row r="407" spans="25:27" hidden="1" x14ac:dyDescent="0.2">
      <c r="Y407" s="98"/>
      <c r="Z407" s="99"/>
      <c r="AA407" s="101"/>
    </row>
    <row r="408" spans="25:27" hidden="1" x14ac:dyDescent="0.2">
      <c r="Y408" s="98"/>
      <c r="Z408" s="99"/>
      <c r="AA408" s="101"/>
    </row>
    <row r="409" spans="25:27" hidden="1" x14ac:dyDescent="0.2">
      <c r="Y409" s="98"/>
      <c r="Z409" s="99"/>
      <c r="AA409" s="101"/>
    </row>
    <row r="410" spans="25:27" hidden="1" x14ac:dyDescent="0.2">
      <c r="Y410" s="98"/>
      <c r="Z410" s="99"/>
      <c r="AA410" s="101"/>
    </row>
    <row r="411" spans="25:27" hidden="1" x14ac:dyDescent="0.2">
      <c r="Y411" s="98"/>
      <c r="Z411" s="99"/>
      <c r="AA411" s="101"/>
    </row>
    <row r="412" spans="25:27" hidden="1" x14ac:dyDescent="0.2">
      <c r="Y412" s="98"/>
      <c r="Z412" s="99"/>
      <c r="AA412" s="101"/>
    </row>
    <row r="413" spans="25:27" hidden="1" x14ac:dyDescent="0.2">
      <c r="Y413" s="98"/>
      <c r="Z413" s="99"/>
      <c r="AA413" s="101"/>
    </row>
    <row r="414" spans="25:27" hidden="1" x14ac:dyDescent="0.2">
      <c r="Y414" s="98"/>
      <c r="Z414" s="99"/>
      <c r="AA414" s="101"/>
    </row>
    <row r="415" spans="25:27" hidden="1" x14ac:dyDescent="0.2">
      <c r="Y415" s="98"/>
      <c r="Z415" s="99"/>
      <c r="AA415" s="101"/>
    </row>
    <row r="416" spans="25:27" hidden="1" x14ac:dyDescent="0.2">
      <c r="Y416" s="98"/>
      <c r="Z416" s="99"/>
      <c r="AA416" s="101"/>
    </row>
    <row r="417" spans="25:27" hidden="1" x14ac:dyDescent="0.2">
      <c r="Y417" s="98"/>
      <c r="Z417" s="99"/>
      <c r="AA417" s="101"/>
    </row>
    <row r="418" spans="25:27" hidden="1" x14ac:dyDescent="0.2">
      <c r="Y418" s="98"/>
      <c r="Z418" s="99"/>
      <c r="AA418" s="101"/>
    </row>
    <row r="419" spans="25:27" hidden="1" x14ac:dyDescent="0.2">
      <c r="Y419" s="98"/>
      <c r="Z419" s="99"/>
      <c r="AA419" s="101"/>
    </row>
    <row r="420" spans="25:27" hidden="1" x14ac:dyDescent="0.2">
      <c r="Y420" s="98"/>
      <c r="Z420" s="99"/>
      <c r="AA420" s="101"/>
    </row>
    <row r="421" spans="25:27" hidden="1" x14ac:dyDescent="0.2">
      <c r="Y421" s="98"/>
      <c r="Z421" s="99"/>
      <c r="AA421" s="101"/>
    </row>
    <row r="422" spans="25:27" hidden="1" x14ac:dyDescent="0.2">
      <c r="Y422" s="98"/>
      <c r="Z422" s="99"/>
      <c r="AA422" s="101"/>
    </row>
    <row r="423" spans="25:27" hidden="1" x14ac:dyDescent="0.2">
      <c r="Y423" s="98"/>
      <c r="Z423" s="99"/>
      <c r="AA423" s="101"/>
    </row>
    <row r="424" spans="25:27" hidden="1" x14ac:dyDescent="0.2">
      <c r="Y424" s="98"/>
      <c r="Z424" s="99"/>
      <c r="AA424" s="101"/>
    </row>
    <row r="425" spans="25:27" hidden="1" x14ac:dyDescent="0.2">
      <c r="Y425" s="98"/>
      <c r="Z425" s="99"/>
      <c r="AA425" s="101"/>
    </row>
    <row r="426" spans="25:27" hidden="1" x14ac:dyDescent="0.2">
      <c r="Y426" s="98"/>
      <c r="Z426" s="99"/>
      <c r="AA426" s="101"/>
    </row>
    <row r="427" spans="25:27" hidden="1" x14ac:dyDescent="0.2">
      <c r="Y427" s="98"/>
      <c r="Z427" s="99"/>
      <c r="AA427" s="101"/>
    </row>
    <row r="428" spans="25:27" hidden="1" x14ac:dyDescent="0.2">
      <c r="Y428" s="98"/>
      <c r="Z428" s="99"/>
      <c r="AA428" s="101"/>
    </row>
    <row r="429" spans="25:27" hidden="1" x14ac:dyDescent="0.2">
      <c r="Y429" s="98"/>
      <c r="Z429" s="99"/>
      <c r="AA429" s="101"/>
    </row>
    <row r="430" spans="25:27" hidden="1" x14ac:dyDescent="0.2">
      <c r="Y430" s="98"/>
      <c r="Z430" s="99"/>
      <c r="AA430" s="101"/>
    </row>
    <row r="431" spans="25:27" hidden="1" x14ac:dyDescent="0.2">
      <c r="Y431" s="98"/>
      <c r="Z431" s="99"/>
      <c r="AA431" s="101"/>
    </row>
    <row r="432" spans="25:27" hidden="1" x14ac:dyDescent="0.2">
      <c r="Y432" s="98"/>
      <c r="Z432" s="99"/>
      <c r="AA432" s="101"/>
    </row>
    <row r="433" spans="25:27" hidden="1" x14ac:dyDescent="0.2">
      <c r="Y433" s="98"/>
      <c r="Z433" s="99"/>
      <c r="AA433" s="101"/>
    </row>
    <row r="434" spans="25:27" hidden="1" x14ac:dyDescent="0.2">
      <c r="Y434" s="98"/>
      <c r="Z434" s="99"/>
      <c r="AA434" s="101"/>
    </row>
    <row r="435" spans="25:27" hidden="1" x14ac:dyDescent="0.2">
      <c r="Y435" s="98"/>
      <c r="Z435" s="99"/>
      <c r="AA435" s="101"/>
    </row>
    <row r="436" spans="25:27" hidden="1" x14ac:dyDescent="0.2">
      <c r="Y436" s="98"/>
      <c r="Z436" s="99"/>
      <c r="AA436" s="101"/>
    </row>
    <row r="437" spans="25:27" hidden="1" x14ac:dyDescent="0.2">
      <c r="Y437" s="98"/>
      <c r="Z437" s="99"/>
      <c r="AA437" s="101"/>
    </row>
    <row r="438" spans="25:27" hidden="1" x14ac:dyDescent="0.2">
      <c r="Y438" s="98"/>
      <c r="Z438" s="99"/>
      <c r="AA438" s="101"/>
    </row>
    <row r="439" spans="25:27" hidden="1" x14ac:dyDescent="0.2">
      <c r="Y439" s="98"/>
      <c r="Z439" s="99"/>
      <c r="AA439" s="101"/>
    </row>
    <row r="440" spans="25:27" hidden="1" x14ac:dyDescent="0.2">
      <c r="Y440" s="98"/>
      <c r="Z440" s="99"/>
      <c r="AA440" s="101"/>
    </row>
    <row r="441" spans="25:27" hidden="1" x14ac:dyDescent="0.2">
      <c r="Y441" s="98"/>
      <c r="Z441" s="99"/>
      <c r="AA441" s="101"/>
    </row>
    <row r="442" spans="25:27" hidden="1" x14ac:dyDescent="0.2">
      <c r="Y442" s="98"/>
      <c r="Z442" s="99"/>
      <c r="AA442" s="101"/>
    </row>
    <row r="443" spans="25:27" hidden="1" x14ac:dyDescent="0.2">
      <c r="Y443" s="98"/>
      <c r="Z443" s="99"/>
      <c r="AA443" s="101"/>
    </row>
    <row r="444" spans="25:27" hidden="1" x14ac:dyDescent="0.2">
      <c r="Y444" s="98"/>
      <c r="Z444" s="99"/>
      <c r="AA444" s="101"/>
    </row>
    <row r="445" spans="25:27" hidden="1" x14ac:dyDescent="0.2">
      <c r="Y445" s="98"/>
      <c r="Z445" s="99"/>
      <c r="AA445" s="101"/>
    </row>
    <row r="446" spans="25:27" hidden="1" x14ac:dyDescent="0.2">
      <c r="Y446" s="98"/>
      <c r="Z446" s="99"/>
      <c r="AA446" s="101"/>
    </row>
    <row r="447" spans="25:27" hidden="1" x14ac:dyDescent="0.2">
      <c r="Y447" s="98"/>
      <c r="Z447" s="99"/>
      <c r="AA447" s="101"/>
    </row>
    <row r="448" spans="25:27" hidden="1" x14ac:dyDescent="0.2">
      <c r="Y448" s="98"/>
      <c r="Z448" s="99"/>
      <c r="AA448" s="101"/>
    </row>
    <row r="449" spans="25:27" hidden="1" x14ac:dyDescent="0.2">
      <c r="Y449" s="98"/>
      <c r="Z449" s="99"/>
      <c r="AA449" s="101"/>
    </row>
    <row r="450" spans="25:27" hidden="1" x14ac:dyDescent="0.2">
      <c r="Y450" s="98"/>
      <c r="Z450" s="99"/>
      <c r="AA450" s="101"/>
    </row>
    <row r="451" spans="25:27" hidden="1" x14ac:dyDescent="0.2">
      <c r="Y451" s="98"/>
      <c r="Z451" s="99"/>
      <c r="AA451" s="101"/>
    </row>
    <row r="452" spans="25:27" hidden="1" x14ac:dyDescent="0.2">
      <c r="Y452" s="98"/>
      <c r="Z452" s="99"/>
      <c r="AA452" s="101"/>
    </row>
    <row r="453" spans="25:27" hidden="1" x14ac:dyDescent="0.2">
      <c r="Y453" s="98"/>
      <c r="Z453" s="99"/>
      <c r="AA453" s="101"/>
    </row>
    <row r="454" spans="25:27" hidden="1" x14ac:dyDescent="0.2">
      <c r="Y454" s="98"/>
      <c r="Z454" s="99"/>
      <c r="AA454" s="101"/>
    </row>
    <row r="455" spans="25:27" hidden="1" x14ac:dyDescent="0.2">
      <c r="Y455" s="98"/>
      <c r="Z455" s="99"/>
      <c r="AA455" s="101"/>
    </row>
    <row r="456" spans="25:27" hidden="1" x14ac:dyDescent="0.2">
      <c r="Y456" s="98"/>
      <c r="Z456" s="99"/>
      <c r="AA456" s="101"/>
    </row>
    <row r="457" spans="25:27" hidden="1" x14ac:dyDescent="0.2">
      <c r="Y457" s="98"/>
      <c r="Z457" s="99"/>
      <c r="AA457" s="101"/>
    </row>
    <row r="458" spans="25:27" hidden="1" x14ac:dyDescent="0.2">
      <c r="Y458" s="98"/>
      <c r="Z458" s="99"/>
      <c r="AA458" s="101"/>
    </row>
    <row r="459" spans="25:27" hidden="1" x14ac:dyDescent="0.2">
      <c r="Y459" s="98"/>
      <c r="Z459" s="99"/>
      <c r="AA459" s="101"/>
    </row>
    <row r="460" spans="25:27" hidden="1" x14ac:dyDescent="0.2">
      <c r="Y460" s="98"/>
      <c r="Z460" s="99"/>
      <c r="AA460" s="101"/>
    </row>
    <row r="461" spans="25:27" hidden="1" x14ac:dyDescent="0.2">
      <c r="Y461" s="98"/>
      <c r="Z461" s="99"/>
      <c r="AA461" s="101"/>
    </row>
    <row r="462" spans="25:27" hidden="1" x14ac:dyDescent="0.2">
      <c r="Y462" s="98"/>
      <c r="Z462" s="99"/>
      <c r="AA462" s="101"/>
    </row>
    <row r="463" spans="25:27" hidden="1" x14ac:dyDescent="0.2">
      <c r="Y463" s="98"/>
      <c r="Z463" s="99"/>
      <c r="AA463" s="101"/>
    </row>
    <row r="464" spans="25:27" hidden="1" x14ac:dyDescent="0.2">
      <c r="Y464" s="98"/>
      <c r="Z464" s="99"/>
      <c r="AA464" s="101"/>
    </row>
    <row r="465" spans="25:27" hidden="1" x14ac:dyDescent="0.2">
      <c r="Y465" s="98"/>
      <c r="Z465" s="99"/>
      <c r="AA465" s="101"/>
    </row>
    <row r="466" spans="25:27" hidden="1" x14ac:dyDescent="0.2">
      <c r="Y466" s="98"/>
      <c r="Z466" s="99"/>
      <c r="AA466" s="101"/>
    </row>
    <row r="467" spans="25:27" hidden="1" x14ac:dyDescent="0.2">
      <c r="Y467" s="98"/>
      <c r="Z467" s="99"/>
      <c r="AA467" s="101"/>
    </row>
    <row r="468" spans="25:27" hidden="1" x14ac:dyDescent="0.2">
      <c r="Y468" s="98"/>
      <c r="Z468" s="99"/>
      <c r="AA468" s="101"/>
    </row>
    <row r="469" spans="25:27" hidden="1" x14ac:dyDescent="0.2">
      <c r="Y469" s="98"/>
      <c r="Z469" s="99"/>
      <c r="AA469" s="101"/>
    </row>
    <row r="470" spans="25:27" hidden="1" x14ac:dyDescent="0.2">
      <c r="Y470" s="98"/>
      <c r="Z470" s="99"/>
      <c r="AA470" s="101"/>
    </row>
    <row r="471" spans="25:27" hidden="1" x14ac:dyDescent="0.2">
      <c r="Y471" s="98"/>
      <c r="Z471" s="99"/>
      <c r="AA471" s="101"/>
    </row>
    <row r="472" spans="25:27" hidden="1" x14ac:dyDescent="0.2">
      <c r="Y472" s="98"/>
      <c r="Z472" s="99"/>
      <c r="AA472" s="101"/>
    </row>
    <row r="473" spans="25:27" hidden="1" x14ac:dyDescent="0.2">
      <c r="Y473" s="98"/>
      <c r="Z473" s="99"/>
      <c r="AA473" s="101"/>
    </row>
    <row r="474" spans="25:27" hidden="1" x14ac:dyDescent="0.2">
      <c r="Y474" s="98"/>
      <c r="Z474" s="99"/>
      <c r="AA474" s="101"/>
    </row>
    <row r="475" spans="25:27" hidden="1" x14ac:dyDescent="0.2">
      <c r="Y475" s="98"/>
      <c r="Z475" s="99"/>
      <c r="AA475" s="101"/>
    </row>
    <row r="476" spans="25:27" hidden="1" x14ac:dyDescent="0.2">
      <c r="Y476" s="98"/>
      <c r="Z476" s="99"/>
      <c r="AA476" s="101"/>
    </row>
    <row r="477" spans="25:27" hidden="1" x14ac:dyDescent="0.2">
      <c r="Y477" s="98"/>
      <c r="Z477" s="99"/>
      <c r="AA477" s="101"/>
    </row>
    <row r="478" spans="25:27" hidden="1" x14ac:dyDescent="0.2">
      <c r="Y478" s="98"/>
      <c r="Z478" s="99"/>
      <c r="AA478" s="101"/>
    </row>
    <row r="479" spans="25:27" hidden="1" x14ac:dyDescent="0.2">
      <c r="Y479" s="98"/>
      <c r="Z479" s="99"/>
      <c r="AA479" s="101"/>
    </row>
    <row r="480" spans="25:27" hidden="1" x14ac:dyDescent="0.2">
      <c r="Y480" s="98"/>
      <c r="Z480" s="99"/>
      <c r="AA480" s="101"/>
    </row>
    <row r="481" spans="25:27" hidden="1" x14ac:dyDescent="0.2">
      <c r="Y481" s="98"/>
      <c r="Z481" s="99"/>
      <c r="AA481" s="101"/>
    </row>
    <row r="482" spans="25:27" hidden="1" x14ac:dyDescent="0.2">
      <c r="Y482" s="98"/>
      <c r="Z482" s="99"/>
      <c r="AA482" s="101"/>
    </row>
    <row r="483" spans="25:27" hidden="1" x14ac:dyDescent="0.2">
      <c r="Y483" s="98"/>
      <c r="Z483" s="99"/>
      <c r="AA483" s="101"/>
    </row>
    <row r="484" spans="25:27" hidden="1" x14ac:dyDescent="0.2">
      <c r="Y484" s="98"/>
      <c r="Z484" s="99"/>
      <c r="AA484" s="101"/>
    </row>
    <row r="485" spans="25:27" hidden="1" x14ac:dyDescent="0.2">
      <c r="Y485" s="98"/>
      <c r="Z485" s="99"/>
      <c r="AA485" s="101"/>
    </row>
    <row r="486" spans="25:27" hidden="1" x14ac:dyDescent="0.2">
      <c r="Y486" s="98"/>
      <c r="Z486" s="99"/>
      <c r="AA486" s="101"/>
    </row>
    <row r="487" spans="25:27" hidden="1" x14ac:dyDescent="0.2">
      <c r="Y487" s="98"/>
      <c r="Z487" s="99"/>
      <c r="AA487" s="101"/>
    </row>
    <row r="488" spans="25:27" hidden="1" x14ac:dyDescent="0.2">
      <c r="Y488" s="98"/>
      <c r="Z488" s="99"/>
      <c r="AA488" s="101"/>
    </row>
    <row r="489" spans="25:27" hidden="1" x14ac:dyDescent="0.2">
      <c r="Y489" s="98"/>
      <c r="Z489" s="99"/>
      <c r="AA489" s="101"/>
    </row>
    <row r="490" spans="25:27" hidden="1" x14ac:dyDescent="0.2">
      <c r="Y490" s="98"/>
      <c r="Z490" s="99"/>
      <c r="AA490" s="101"/>
    </row>
    <row r="491" spans="25:27" hidden="1" x14ac:dyDescent="0.2">
      <c r="Y491" s="98"/>
      <c r="Z491" s="99"/>
      <c r="AA491" s="101"/>
    </row>
    <row r="492" spans="25:27" hidden="1" x14ac:dyDescent="0.2">
      <c r="Y492" s="98"/>
      <c r="Z492" s="99"/>
      <c r="AA492" s="101"/>
    </row>
    <row r="493" spans="25:27" hidden="1" x14ac:dyDescent="0.2">
      <c r="Y493" s="98"/>
      <c r="Z493" s="99"/>
      <c r="AA493" s="101"/>
    </row>
    <row r="494" spans="25:27" hidden="1" x14ac:dyDescent="0.2">
      <c r="Y494" s="98"/>
      <c r="Z494" s="99"/>
      <c r="AA494" s="101"/>
    </row>
    <row r="495" spans="25:27" hidden="1" x14ac:dyDescent="0.2">
      <c r="Y495" s="98"/>
      <c r="Z495" s="99"/>
      <c r="AA495" s="101"/>
    </row>
    <row r="496" spans="25:27" hidden="1" x14ac:dyDescent="0.2">
      <c r="Y496" s="98"/>
      <c r="Z496" s="99"/>
      <c r="AA496" s="101"/>
    </row>
    <row r="497" spans="25:27" hidden="1" x14ac:dyDescent="0.2">
      <c r="Y497" s="98"/>
      <c r="Z497" s="99"/>
      <c r="AA497" s="101"/>
    </row>
    <row r="498" spans="25:27" hidden="1" x14ac:dyDescent="0.2">
      <c r="Y498" s="98"/>
      <c r="Z498" s="99"/>
      <c r="AA498" s="101"/>
    </row>
    <row r="499" spans="25:27" hidden="1" x14ac:dyDescent="0.2">
      <c r="Y499" s="98"/>
      <c r="Z499" s="99"/>
      <c r="AA499" s="101"/>
    </row>
    <row r="500" spans="25:27" hidden="1" x14ac:dyDescent="0.2">
      <c r="Y500" s="98"/>
      <c r="Z500" s="99"/>
      <c r="AA500" s="101"/>
    </row>
    <row r="501" spans="25:27" hidden="1" x14ac:dyDescent="0.2">
      <c r="Y501" s="98"/>
      <c r="Z501" s="99"/>
      <c r="AA501" s="101"/>
    </row>
    <row r="502" spans="25:27" hidden="1" x14ac:dyDescent="0.2">
      <c r="Y502" s="98"/>
      <c r="Z502" s="99"/>
      <c r="AA502" s="101"/>
    </row>
    <row r="503" spans="25:27" hidden="1" x14ac:dyDescent="0.2">
      <c r="Y503" s="98"/>
      <c r="Z503" s="99"/>
      <c r="AA503" s="101"/>
    </row>
    <row r="504" spans="25:27" hidden="1" x14ac:dyDescent="0.2">
      <c r="Y504" s="98"/>
      <c r="Z504" s="99"/>
      <c r="AA504" s="101"/>
    </row>
    <row r="505" spans="25:27" hidden="1" x14ac:dyDescent="0.2">
      <c r="Y505" s="98"/>
      <c r="Z505" s="99"/>
      <c r="AA505" s="101"/>
    </row>
    <row r="506" spans="25:27" hidden="1" x14ac:dyDescent="0.2">
      <c r="Y506" s="98"/>
      <c r="Z506" s="99"/>
      <c r="AA506" s="101"/>
    </row>
    <row r="507" spans="25:27" hidden="1" x14ac:dyDescent="0.2">
      <c r="Y507" s="98"/>
      <c r="Z507" s="99"/>
      <c r="AA507" s="101"/>
    </row>
    <row r="508" spans="25:27" hidden="1" x14ac:dyDescent="0.2">
      <c r="Y508" s="98"/>
      <c r="Z508" s="99"/>
      <c r="AA508" s="101"/>
    </row>
    <row r="509" spans="25:27" hidden="1" x14ac:dyDescent="0.2">
      <c r="Y509" s="98"/>
      <c r="Z509" s="99"/>
      <c r="AA509" s="101"/>
    </row>
    <row r="510" spans="25:27" hidden="1" x14ac:dyDescent="0.2">
      <c r="Y510" s="98"/>
      <c r="Z510" s="99"/>
      <c r="AA510" s="101"/>
    </row>
    <row r="511" spans="25:27" hidden="1" x14ac:dyDescent="0.2">
      <c r="Y511" s="98"/>
      <c r="Z511" s="99"/>
      <c r="AA511" s="101"/>
    </row>
    <row r="512" spans="25:27" hidden="1" x14ac:dyDescent="0.2">
      <c r="Y512" s="98"/>
      <c r="Z512" s="99"/>
      <c r="AA512" s="101"/>
    </row>
    <row r="513" spans="25:27" hidden="1" x14ac:dyDescent="0.2">
      <c r="Y513" s="98"/>
      <c r="Z513" s="99"/>
      <c r="AA513" s="101"/>
    </row>
    <row r="514" spans="25:27" hidden="1" x14ac:dyDescent="0.2">
      <c r="Y514" s="98"/>
      <c r="Z514" s="99"/>
      <c r="AA514" s="101"/>
    </row>
    <row r="515" spans="25:27" hidden="1" x14ac:dyDescent="0.2">
      <c r="Y515" s="98"/>
      <c r="Z515" s="99"/>
      <c r="AA515" s="101"/>
    </row>
    <row r="516" spans="25:27" hidden="1" x14ac:dyDescent="0.2">
      <c r="Y516" s="98"/>
      <c r="Z516" s="99"/>
      <c r="AA516" s="101"/>
    </row>
    <row r="517" spans="25:27" hidden="1" x14ac:dyDescent="0.2">
      <c r="Y517" s="98"/>
      <c r="Z517" s="99"/>
      <c r="AA517" s="101"/>
    </row>
    <row r="518" spans="25:27" hidden="1" x14ac:dyDescent="0.2">
      <c r="Y518" s="98"/>
      <c r="Z518" s="99"/>
      <c r="AA518" s="101"/>
    </row>
    <row r="519" spans="25:27" hidden="1" x14ac:dyDescent="0.2">
      <c r="Y519" s="98"/>
      <c r="Z519" s="99"/>
      <c r="AA519" s="101"/>
    </row>
    <row r="520" spans="25:27" hidden="1" x14ac:dyDescent="0.2">
      <c r="Y520" s="98"/>
      <c r="Z520" s="99"/>
      <c r="AA520" s="101"/>
    </row>
    <row r="521" spans="25:27" hidden="1" x14ac:dyDescent="0.2">
      <c r="Y521" s="98"/>
      <c r="Z521" s="99"/>
      <c r="AA521" s="101"/>
    </row>
    <row r="522" spans="25:27" hidden="1" x14ac:dyDescent="0.2">
      <c r="Y522" s="98"/>
      <c r="Z522" s="99"/>
      <c r="AA522" s="101"/>
    </row>
    <row r="523" spans="25:27" hidden="1" x14ac:dyDescent="0.2">
      <c r="Y523" s="98"/>
      <c r="Z523" s="99"/>
      <c r="AA523" s="101"/>
    </row>
    <row r="524" spans="25:27" hidden="1" x14ac:dyDescent="0.2">
      <c r="Y524" s="98"/>
      <c r="Z524" s="99"/>
      <c r="AA524" s="101"/>
    </row>
    <row r="525" spans="25:27" hidden="1" x14ac:dyDescent="0.2">
      <c r="Y525" s="98"/>
      <c r="Z525" s="99"/>
      <c r="AA525" s="101"/>
    </row>
    <row r="526" spans="25:27" hidden="1" x14ac:dyDescent="0.2">
      <c r="Y526" s="98"/>
      <c r="Z526" s="99"/>
      <c r="AA526" s="101"/>
    </row>
    <row r="527" spans="25:27" hidden="1" x14ac:dyDescent="0.2">
      <c r="Y527" s="98"/>
      <c r="Z527" s="99"/>
      <c r="AA527" s="101"/>
    </row>
    <row r="528" spans="25:27" hidden="1" x14ac:dyDescent="0.2">
      <c r="Y528" s="98"/>
      <c r="Z528" s="99"/>
      <c r="AA528" s="101"/>
    </row>
    <row r="529" spans="25:27" hidden="1" x14ac:dyDescent="0.2">
      <c r="Y529" s="98"/>
      <c r="Z529" s="99"/>
      <c r="AA529" s="101"/>
    </row>
    <row r="530" spans="25:27" hidden="1" x14ac:dyDescent="0.2">
      <c r="Y530" s="98"/>
      <c r="Z530" s="99"/>
      <c r="AA530" s="101"/>
    </row>
    <row r="531" spans="25:27" hidden="1" x14ac:dyDescent="0.2">
      <c r="Y531" s="98"/>
      <c r="Z531" s="99"/>
      <c r="AA531" s="101"/>
    </row>
    <row r="532" spans="25:27" hidden="1" x14ac:dyDescent="0.2">
      <c r="Y532" s="98"/>
      <c r="Z532" s="99"/>
      <c r="AA532" s="101"/>
    </row>
    <row r="533" spans="25:27" hidden="1" x14ac:dyDescent="0.2">
      <c r="Y533" s="98"/>
      <c r="Z533" s="99"/>
      <c r="AA533" s="101"/>
    </row>
    <row r="534" spans="25:27" hidden="1" x14ac:dyDescent="0.2">
      <c r="Y534" s="98"/>
      <c r="Z534" s="99"/>
      <c r="AA534" s="101"/>
    </row>
    <row r="535" spans="25:27" hidden="1" x14ac:dyDescent="0.2">
      <c r="Y535" s="98"/>
      <c r="Z535" s="99"/>
      <c r="AA535" s="101"/>
    </row>
    <row r="536" spans="25:27" hidden="1" x14ac:dyDescent="0.2">
      <c r="Y536" s="98"/>
      <c r="Z536" s="99"/>
      <c r="AA536" s="101"/>
    </row>
    <row r="537" spans="25:27" hidden="1" x14ac:dyDescent="0.2">
      <c r="Y537" s="98"/>
      <c r="Z537" s="99"/>
      <c r="AA537" s="101"/>
    </row>
    <row r="538" spans="25:27" hidden="1" x14ac:dyDescent="0.2">
      <c r="Y538" s="98"/>
      <c r="Z538" s="99"/>
      <c r="AA538" s="101"/>
    </row>
    <row r="539" spans="25:27" hidden="1" x14ac:dyDescent="0.2">
      <c r="Y539" s="98"/>
      <c r="Z539" s="99"/>
      <c r="AA539" s="101"/>
    </row>
    <row r="540" spans="25:27" hidden="1" x14ac:dyDescent="0.2">
      <c r="Y540" s="98"/>
      <c r="Z540" s="99"/>
      <c r="AA540" s="101"/>
    </row>
    <row r="541" spans="25:27" hidden="1" x14ac:dyDescent="0.2">
      <c r="Y541" s="98"/>
      <c r="Z541" s="99"/>
      <c r="AA541" s="101"/>
    </row>
    <row r="542" spans="25:27" hidden="1" x14ac:dyDescent="0.2">
      <c r="Y542" s="98"/>
      <c r="Z542" s="99"/>
      <c r="AA542" s="72"/>
    </row>
    <row r="543" spans="25:27" hidden="1" x14ac:dyDescent="0.2">
      <c r="Y543" s="98"/>
      <c r="Z543" s="99"/>
      <c r="AA543" s="101"/>
    </row>
    <row r="544" spans="25:27" hidden="1" x14ac:dyDescent="0.2">
      <c r="Y544" s="98"/>
      <c r="Z544" s="99"/>
      <c r="AA544" s="101"/>
    </row>
    <row r="545" spans="25:27" hidden="1" x14ac:dyDescent="0.2">
      <c r="Y545" s="98"/>
      <c r="Z545" s="99"/>
      <c r="AA545" s="101"/>
    </row>
    <row r="546" spans="25:27" hidden="1" x14ac:dyDescent="0.2">
      <c r="Y546" s="98"/>
      <c r="Z546" s="99"/>
      <c r="AA546" s="101"/>
    </row>
    <row r="547" spans="25:27" hidden="1" x14ac:dyDescent="0.2">
      <c r="Y547" s="98"/>
      <c r="Z547" s="99"/>
      <c r="AA547" s="101"/>
    </row>
    <row r="548" spans="25:27" hidden="1" x14ac:dyDescent="0.2">
      <c r="Y548" s="98"/>
      <c r="Z548" s="99"/>
      <c r="AA548" s="101"/>
    </row>
    <row r="549" spans="25:27" hidden="1" x14ac:dyDescent="0.2">
      <c r="Y549" s="98"/>
      <c r="Z549" s="99"/>
      <c r="AA549" s="101"/>
    </row>
    <row r="550" spans="25:27" hidden="1" x14ac:dyDescent="0.2">
      <c r="Y550" s="98"/>
      <c r="Z550" s="99"/>
      <c r="AA550" s="101"/>
    </row>
    <row r="551" spans="25:27" hidden="1" x14ac:dyDescent="0.2">
      <c r="Y551" s="98"/>
      <c r="Z551" s="99"/>
      <c r="AA551" s="101"/>
    </row>
    <row r="552" spans="25:27" hidden="1" x14ac:dyDescent="0.2">
      <c r="Y552" s="98"/>
      <c r="Z552" s="99"/>
      <c r="AA552" s="101"/>
    </row>
    <row r="553" spans="25:27" hidden="1" x14ac:dyDescent="0.2">
      <c r="Y553" s="98"/>
      <c r="Z553" s="99"/>
      <c r="AA553" s="101"/>
    </row>
    <row r="554" spans="25:27" hidden="1" x14ac:dyDescent="0.2">
      <c r="Y554" s="98"/>
      <c r="Z554" s="99"/>
      <c r="AA554" s="72"/>
    </row>
    <row r="555" spans="25:27" hidden="1" x14ac:dyDescent="0.2">
      <c r="Y555" s="98"/>
      <c r="Z555" s="99"/>
      <c r="AA555" s="101"/>
    </row>
    <row r="556" spans="25:27" hidden="1" x14ac:dyDescent="0.2">
      <c r="Y556" s="98"/>
      <c r="Z556" s="99"/>
      <c r="AA556" s="101"/>
    </row>
    <row r="557" spans="25:27" hidden="1" x14ac:dyDescent="0.2">
      <c r="Y557" s="98"/>
      <c r="Z557" s="99"/>
      <c r="AA557" s="101"/>
    </row>
    <row r="558" spans="25:27" hidden="1" x14ac:dyDescent="0.2">
      <c r="Y558" s="98"/>
      <c r="Z558" s="99"/>
      <c r="AA558" s="101"/>
    </row>
    <row r="559" spans="25:27" hidden="1" x14ac:dyDescent="0.2">
      <c r="Y559" s="98"/>
      <c r="Z559" s="99"/>
      <c r="AA559" s="101"/>
    </row>
    <row r="560" spans="25:27" hidden="1" x14ac:dyDescent="0.2">
      <c r="Y560" s="98"/>
      <c r="Z560" s="99"/>
      <c r="AA560" s="101"/>
    </row>
    <row r="561" spans="25:27" hidden="1" x14ac:dyDescent="0.2">
      <c r="Y561" s="98"/>
      <c r="Z561" s="99"/>
      <c r="AA561" s="101"/>
    </row>
    <row r="562" spans="25:27" hidden="1" x14ac:dyDescent="0.2">
      <c r="Y562" s="98"/>
      <c r="Z562" s="99"/>
      <c r="AA562" s="101"/>
    </row>
    <row r="563" spans="25:27" hidden="1" x14ac:dyDescent="0.2">
      <c r="Y563" s="98"/>
      <c r="Z563" s="99"/>
      <c r="AA563" s="101"/>
    </row>
    <row r="564" spans="25:27" hidden="1" x14ac:dyDescent="0.2">
      <c r="Y564" s="98"/>
      <c r="Z564" s="99"/>
      <c r="AA564" s="101"/>
    </row>
    <row r="565" spans="25:27" hidden="1" x14ac:dyDescent="0.2">
      <c r="Y565" s="98"/>
      <c r="Z565" s="99"/>
      <c r="AA565" s="101"/>
    </row>
    <row r="566" spans="25:27" hidden="1" x14ac:dyDescent="0.2">
      <c r="Y566" s="98"/>
      <c r="Z566" s="99"/>
      <c r="AA566" s="72"/>
    </row>
    <row r="567" spans="25:27" hidden="1" x14ac:dyDescent="0.2">
      <c r="Y567" s="98"/>
      <c r="Z567" s="99"/>
      <c r="AA567" s="101"/>
    </row>
    <row r="568" spans="25:27" hidden="1" x14ac:dyDescent="0.2">
      <c r="Y568" s="98"/>
      <c r="Z568" s="99"/>
      <c r="AA568" s="101"/>
    </row>
    <row r="569" spans="25:27" hidden="1" x14ac:dyDescent="0.2">
      <c r="Y569" s="98"/>
      <c r="Z569" s="99"/>
      <c r="AA569" s="101"/>
    </row>
    <row r="570" spans="25:27" hidden="1" x14ac:dyDescent="0.2">
      <c r="Y570" s="98"/>
      <c r="Z570" s="99"/>
      <c r="AA570" s="101"/>
    </row>
    <row r="571" spans="25:27" hidden="1" x14ac:dyDescent="0.2">
      <c r="Y571" s="98"/>
      <c r="Z571" s="99"/>
      <c r="AA571" s="101"/>
    </row>
    <row r="572" spans="25:27" hidden="1" x14ac:dyDescent="0.2">
      <c r="Y572" s="98"/>
      <c r="Z572" s="99"/>
      <c r="AA572" s="101"/>
    </row>
    <row r="573" spans="25:27" hidden="1" x14ac:dyDescent="0.2">
      <c r="Y573" s="98"/>
      <c r="Z573" s="99"/>
      <c r="AA573" s="101"/>
    </row>
    <row r="574" spans="25:27" hidden="1" x14ac:dyDescent="0.2">
      <c r="Y574" s="98"/>
      <c r="Z574" s="99"/>
      <c r="AA574" s="101"/>
    </row>
    <row r="575" spans="25:27" hidden="1" x14ac:dyDescent="0.2">
      <c r="Y575" s="98"/>
      <c r="Z575" s="99"/>
      <c r="AA575" s="101"/>
    </row>
    <row r="576" spans="25:27" hidden="1" x14ac:dyDescent="0.2">
      <c r="Y576" s="98"/>
      <c r="Z576" s="99"/>
      <c r="AA576" s="101"/>
    </row>
    <row r="577" spans="25:27" hidden="1" x14ac:dyDescent="0.2">
      <c r="Y577" s="98"/>
      <c r="Z577" s="99"/>
      <c r="AA577" s="101"/>
    </row>
    <row r="578" spans="25:27" hidden="1" x14ac:dyDescent="0.2">
      <c r="Y578" s="98"/>
      <c r="Z578" s="99"/>
      <c r="AA578" s="72"/>
    </row>
    <row r="579" spans="25:27" hidden="1" x14ac:dyDescent="0.2">
      <c r="Y579" s="98"/>
      <c r="Z579" s="99"/>
      <c r="AA579" s="72"/>
    </row>
    <row r="580" spans="25:27" hidden="1" x14ac:dyDescent="0.2">
      <c r="Y580" s="102"/>
      <c r="Z580" s="99"/>
      <c r="AA580" s="72"/>
    </row>
    <row r="581" spans="25:27" hidden="1" x14ac:dyDescent="0.2">
      <c r="Y581" s="98"/>
      <c r="Z581" s="99"/>
      <c r="AA581" s="72"/>
    </row>
    <row r="582" spans="25:27" hidden="1" x14ac:dyDescent="0.2">
      <c r="Y582" s="98"/>
      <c r="Z582" s="99"/>
      <c r="AA582" s="72"/>
    </row>
    <row r="583" spans="25:27" hidden="1" x14ac:dyDescent="0.2">
      <c r="Y583" s="98"/>
      <c r="Z583" s="99"/>
      <c r="AA583" s="72"/>
    </row>
    <row r="584" spans="25:27" hidden="1" x14ac:dyDescent="0.2">
      <c r="Y584" s="98"/>
      <c r="Z584" s="99"/>
      <c r="AA584" s="72"/>
    </row>
    <row r="585" spans="25:27" hidden="1" x14ac:dyDescent="0.2">
      <c r="Y585" s="98"/>
      <c r="Z585" s="99"/>
      <c r="AA585" s="72"/>
    </row>
    <row r="586" spans="25:27" hidden="1" x14ac:dyDescent="0.2">
      <c r="Y586" s="98"/>
      <c r="Z586" s="99"/>
      <c r="AA586" s="72"/>
    </row>
    <row r="587" spans="25:27" hidden="1" x14ac:dyDescent="0.2">
      <c r="Y587" s="98"/>
      <c r="Z587" s="99"/>
      <c r="AA587" s="72"/>
    </row>
    <row r="588" spans="25:27" hidden="1" x14ac:dyDescent="0.2">
      <c r="Y588" s="98"/>
      <c r="Z588" s="99"/>
      <c r="AA588" s="72"/>
    </row>
    <row r="589" spans="25:27" hidden="1" x14ac:dyDescent="0.2">
      <c r="Y589" s="98"/>
      <c r="Z589" s="99"/>
      <c r="AA589" s="72"/>
    </row>
    <row r="590" spans="25:27" hidden="1" x14ac:dyDescent="0.2">
      <c r="Y590" s="98"/>
      <c r="Z590" s="99"/>
      <c r="AA590" s="72"/>
    </row>
    <row r="591" spans="25:27" hidden="1" x14ac:dyDescent="0.2">
      <c r="Y591" s="98"/>
      <c r="Z591" s="99"/>
      <c r="AA591" s="72"/>
    </row>
    <row r="592" spans="25:27" hidden="1" x14ac:dyDescent="0.2">
      <c r="Y592" s="98"/>
      <c r="Z592" s="99"/>
      <c r="AA592" s="72"/>
    </row>
    <row r="593" spans="25:27" hidden="1" x14ac:dyDescent="0.2">
      <c r="Y593" s="98"/>
      <c r="Z593" s="99"/>
      <c r="AA593" s="72"/>
    </row>
    <row r="594" spans="25:27" hidden="1" x14ac:dyDescent="0.2">
      <c r="Y594" s="98"/>
      <c r="Z594" s="99"/>
      <c r="AA594" s="72"/>
    </row>
    <row r="595" spans="25:27" hidden="1" x14ac:dyDescent="0.2">
      <c r="Y595" s="98"/>
      <c r="Z595" s="99"/>
      <c r="AA595" s="72"/>
    </row>
    <row r="596" spans="25:27" hidden="1" x14ac:dyDescent="0.2">
      <c r="Y596" s="98"/>
      <c r="Z596" s="99"/>
      <c r="AA596" s="72"/>
    </row>
    <row r="597" spans="25:27" hidden="1" x14ac:dyDescent="0.2">
      <c r="Y597" s="98"/>
      <c r="Z597" s="99"/>
      <c r="AA597" s="72"/>
    </row>
    <row r="598" spans="25:27" hidden="1" x14ac:dyDescent="0.2">
      <c r="Y598" s="98"/>
      <c r="Z598" s="99"/>
      <c r="AA598" s="72"/>
    </row>
    <row r="599" spans="25:27" hidden="1" x14ac:dyDescent="0.2">
      <c r="Y599" s="98"/>
      <c r="Z599" s="99"/>
      <c r="AA599" s="72"/>
    </row>
    <row r="600" spans="25:27" hidden="1" x14ac:dyDescent="0.2">
      <c r="Y600" s="98"/>
      <c r="Z600" s="99"/>
      <c r="AA600" s="72"/>
    </row>
    <row r="601" spans="25:27" hidden="1" x14ac:dyDescent="0.2">
      <c r="Y601" s="98"/>
      <c r="Z601" s="99"/>
      <c r="AA601" s="72"/>
    </row>
    <row r="602" spans="25:27" hidden="1" x14ac:dyDescent="0.2">
      <c r="Y602" s="98"/>
      <c r="Z602" s="99"/>
      <c r="AA602" s="72"/>
    </row>
    <row r="603" spans="25:27" hidden="1" x14ac:dyDescent="0.2">
      <c r="Y603" s="98"/>
      <c r="Z603" s="99"/>
      <c r="AA603" s="72"/>
    </row>
    <row r="604" spans="25:27" hidden="1" x14ac:dyDescent="0.2">
      <c r="Y604" s="98"/>
      <c r="Z604" s="99"/>
      <c r="AA604" s="72"/>
    </row>
    <row r="605" spans="25:27" hidden="1" x14ac:dyDescent="0.2">
      <c r="Y605" s="98"/>
      <c r="Z605" s="99"/>
      <c r="AA605" s="72"/>
    </row>
    <row r="606" spans="25:27" hidden="1" x14ac:dyDescent="0.2">
      <c r="Y606" s="98"/>
      <c r="Z606" s="99"/>
      <c r="AA606" s="72"/>
    </row>
    <row r="607" spans="25:27" hidden="1" x14ac:dyDescent="0.2">
      <c r="Y607" s="98"/>
      <c r="Z607" s="99"/>
      <c r="AA607" s="72"/>
    </row>
    <row r="608" spans="25:27" hidden="1" x14ac:dyDescent="0.2">
      <c r="Y608" s="98"/>
      <c r="Z608" s="99"/>
      <c r="AA608" s="72"/>
    </row>
    <row r="609" spans="25:27" hidden="1" x14ac:dyDescent="0.2">
      <c r="Y609" s="98"/>
      <c r="Z609" s="99"/>
      <c r="AA609" s="72"/>
    </row>
    <row r="610" spans="25:27" hidden="1" x14ac:dyDescent="0.2">
      <c r="Y610" s="98"/>
      <c r="Z610" s="99"/>
      <c r="AA610" s="72"/>
    </row>
    <row r="611" spans="25:27" hidden="1" x14ac:dyDescent="0.2">
      <c r="Y611" s="98"/>
      <c r="Z611" s="99"/>
      <c r="AA611" s="72"/>
    </row>
    <row r="612" spans="25:27" hidden="1" x14ac:dyDescent="0.2">
      <c r="Y612" s="98"/>
      <c r="Z612" s="99"/>
      <c r="AA612" s="72"/>
    </row>
    <row r="613" spans="25:27" hidden="1" x14ac:dyDescent="0.2">
      <c r="Y613" s="98"/>
      <c r="Z613" s="99"/>
      <c r="AA613" s="72"/>
    </row>
    <row r="614" spans="25:27" hidden="1" x14ac:dyDescent="0.2">
      <c r="Y614" s="98"/>
      <c r="Z614" s="99"/>
      <c r="AA614" s="72"/>
    </row>
    <row r="615" spans="25:27" hidden="1" x14ac:dyDescent="0.2">
      <c r="Y615" s="98"/>
      <c r="Z615" s="99"/>
      <c r="AA615" s="72"/>
    </row>
    <row r="616" spans="25:27" hidden="1" x14ac:dyDescent="0.2">
      <c r="Y616" s="98"/>
      <c r="Z616" s="99"/>
      <c r="AA616" s="72"/>
    </row>
    <row r="617" spans="25:27" hidden="1" x14ac:dyDescent="0.2">
      <c r="Y617" s="98"/>
      <c r="Z617" s="99"/>
      <c r="AA617" s="72"/>
    </row>
    <row r="618" spans="25:27" hidden="1" x14ac:dyDescent="0.2">
      <c r="Y618" s="98"/>
      <c r="Z618" s="99"/>
      <c r="AA618" s="72"/>
    </row>
    <row r="619" spans="25:27" hidden="1" x14ac:dyDescent="0.2">
      <c r="Y619" s="98"/>
      <c r="Z619" s="99"/>
      <c r="AA619" s="72"/>
    </row>
    <row r="620" spans="25:27" hidden="1" x14ac:dyDescent="0.2">
      <c r="Y620" s="98"/>
      <c r="Z620" s="99"/>
      <c r="AA620" s="72"/>
    </row>
    <row r="621" spans="25:27" hidden="1" x14ac:dyDescent="0.2">
      <c r="Y621" s="98"/>
      <c r="Z621" s="99"/>
      <c r="AA621" s="72"/>
    </row>
    <row r="622" spans="25:27" hidden="1" x14ac:dyDescent="0.2">
      <c r="Y622" s="98"/>
      <c r="Z622" s="99"/>
      <c r="AA622" s="72"/>
    </row>
    <row r="623" spans="25:27" hidden="1" x14ac:dyDescent="0.2">
      <c r="Y623" s="98"/>
      <c r="Z623" s="99"/>
      <c r="AA623" s="72"/>
    </row>
    <row r="624" spans="25:27" hidden="1" x14ac:dyDescent="0.2">
      <c r="Y624" s="98"/>
      <c r="Z624" s="99"/>
      <c r="AA624" s="72"/>
    </row>
    <row r="625" spans="25:27" hidden="1" x14ac:dyDescent="0.2">
      <c r="Y625" s="98"/>
      <c r="Z625" s="99"/>
      <c r="AA625" s="72"/>
    </row>
    <row r="626" spans="25:27" hidden="1" x14ac:dyDescent="0.2">
      <c r="Y626" s="98"/>
      <c r="Z626" s="99"/>
      <c r="AA626" s="72"/>
    </row>
    <row r="627" spans="25:27" hidden="1" x14ac:dyDescent="0.2">
      <c r="Y627" s="98"/>
      <c r="Z627" s="99"/>
      <c r="AA627" s="72"/>
    </row>
    <row r="628" spans="25:27" hidden="1" x14ac:dyDescent="0.2">
      <c r="Y628" s="98"/>
      <c r="Z628" s="99"/>
      <c r="AA628" s="72"/>
    </row>
    <row r="629" spans="25:27" hidden="1" x14ac:dyDescent="0.2">
      <c r="Y629" s="98"/>
      <c r="Z629" s="99"/>
      <c r="AA629" s="72"/>
    </row>
    <row r="630" spans="25:27" hidden="1" x14ac:dyDescent="0.2">
      <c r="Y630" s="98"/>
      <c r="Z630" s="99"/>
      <c r="AA630" s="72"/>
    </row>
    <row r="631" spans="25:27" hidden="1" x14ac:dyDescent="0.2">
      <c r="Y631" s="98"/>
      <c r="Z631" s="99"/>
      <c r="AA631" s="72"/>
    </row>
    <row r="632" spans="25:27" hidden="1" x14ac:dyDescent="0.2">
      <c r="Y632" s="98"/>
      <c r="Z632" s="99"/>
      <c r="AA632" s="72"/>
    </row>
    <row r="633" spans="25:27" hidden="1" x14ac:dyDescent="0.2">
      <c r="Y633" s="98"/>
      <c r="Z633" s="99"/>
      <c r="AA633" s="72"/>
    </row>
    <row r="634" spans="25:27" hidden="1" x14ac:dyDescent="0.2">
      <c r="Y634" s="98"/>
      <c r="Z634" s="99"/>
      <c r="AA634" s="72"/>
    </row>
    <row r="635" spans="25:27" hidden="1" x14ac:dyDescent="0.2">
      <c r="Y635" s="98"/>
      <c r="Z635" s="99"/>
      <c r="AA635" s="72"/>
    </row>
    <row r="636" spans="25:27" hidden="1" x14ac:dyDescent="0.2">
      <c r="Y636" s="98"/>
      <c r="Z636" s="99"/>
      <c r="AA636" s="72"/>
    </row>
    <row r="637" spans="25:27" hidden="1" x14ac:dyDescent="0.2">
      <c r="Y637" s="98"/>
      <c r="Z637" s="99"/>
      <c r="AA637" s="72"/>
    </row>
    <row r="638" spans="25:27" hidden="1" x14ac:dyDescent="0.2">
      <c r="Y638" s="98"/>
      <c r="Z638" s="99"/>
      <c r="AA638" s="72"/>
    </row>
  </sheetData>
  <sheetProtection sheet="1" objects="1" scenarios="1" formatCells="0" formatColumns="0" formatRows="0" sort="0" autoFilter="0"/>
  <mergeCells count="13">
    <mergeCell ref="L81:M81"/>
    <mergeCell ref="K4:K5"/>
    <mergeCell ref="L4:L5"/>
    <mergeCell ref="M4:M5"/>
    <mergeCell ref="D2:N2"/>
    <mergeCell ref="J4:J5"/>
    <mergeCell ref="D4:D5"/>
    <mergeCell ref="E4:E5"/>
    <mergeCell ref="F4:F5"/>
    <mergeCell ref="G4:G5"/>
    <mergeCell ref="H4:H5"/>
    <mergeCell ref="I4:I5"/>
    <mergeCell ref="N4:N5"/>
  </mergeCells>
  <printOptions horizontalCentered="1"/>
  <pageMargins left="0.41666666666666669" right="0.41666666666666669" top="0.69444444444444442" bottom="0.69444444444444442" header="0.27777777777777779" footer="0.27777777777777779"/>
  <pageSetup paperSize="9" scale="71" fitToHeight="0" orientation="landscape" r:id="rId1"/>
  <headerFooter>
    <oddHeader>&amp;L&amp;"Calibri,Negrito"&amp;10Processo: &amp;C&amp;"Calibri,Negrito"&amp;12Cálculo do Adicional de Insalubridade&amp;R&amp;"Calibri,Itálico"&amp;9Atualizado em &amp;D</oddHeader>
    <oddFooter>&amp;L&amp;"Calibri,Itálico"&amp;9&amp;F&amp;C&amp;"Calibri,Regular"&amp;10Página &amp;P de &amp;N&amp;R&amp;"Calibri,Itálico"&amp;9&amp;A</oddFooter>
  </headerFooter>
  <colBreaks count="1" manualBreakCount="1">
    <brk id="14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5CB356-C94E-44DF-90CA-C7078C16D853}">
  <sheetPr codeName="Planilha2">
    <tabColor rgb="FFBDD7EE"/>
  </sheetPr>
  <dimension ref="B2:X642"/>
  <sheetViews>
    <sheetView showGridLines="0" workbookViewId="0"/>
  </sheetViews>
  <sheetFormatPr defaultRowHeight="12.75" x14ac:dyDescent="0.2"/>
  <cols>
    <col min="1" max="1" width="20.42578125" customWidth="1"/>
    <col min="2" max="2" width="11" customWidth="1"/>
    <col min="4" max="4" width="13.42578125" customWidth="1"/>
    <col min="7" max="7" width="10.140625" bestFit="1" customWidth="1"/>
    <col min="8" max="8" width="11" customWidth="1"/>
    <col min="13" max="13" width="9.28515625" bestFit="1" customWidth="1"/>
    <col min="14" max="14" width="12.85546875" customWidth="1"/>
    <col min="15" max="15" width="10.42578125" bestFit="1" customWidth="1"/>
    <col min="18" max="18" width="10.140625" bestFit="1" customWidth="1"/>
    <col min="23" max="23" width="10.5703125" bestFit="1" customWidth="1"/>
    <col min="24" max="24" width="10.7109375" bestFit="1" customWidth="1"/>
  </cols>
  <sheetData>
    <row r="2" spans="2:24" ht="16.5" thickBot="1" x14ac:dyDescent="0.3">
      <c r="B2" s="212" t="s">
        <v>59</v>
      </c>
      <c r="C2" s="213"/>
      <c r="D2" s="214"/>
      <c r="G2" s="218" t="s">
        <v>0</v>
      </c>
      <c r="H2" s="219"/>
      <c r="I2" s="219"/>
      <c r="J2" s="219"/>
      <c r="K2" s="220"/>
      <c r="M2" s="10"/>
      <c r="N2" s="10"/>
      <c r="O2" s="10"/>
      <c r="R2" s="107"/>
      <c r="S2" s="107"/>
      <c r="T2" s="107"/>
      <c r="U2" s="107"/>
      <c r="V2" s="107"/>
      <c r="W2" s="107"/>
      <c r="X2" s="107"/>
    </row>
    <row r="3" spans="2:24" ht="13.5" thickTop="1" x14ac:dyDescent="0.2">
      <c r="B3" s="215"/>
      <c r="C3" s="216"/>
      <c r="D3" s="217"/>
      <c r="M3" s="10"/>
      <c r="N3" s="10"/>
      <c r="O3" s="11"/>
    </row>
    <row r="4" spans="2:24" ht="15.95" customHeight="1" x14ac:dyDescent="0.25">
      <c r="B4" s="159" t="s">
        <v>4</v>
      </c>
      <c r="C4" s="160" t="s">
        <v>5</v>
      </c>
      <c r="D4" s="161" t="s">
        <v>6</v>
      </c>
      <c r="G4" s="221" t="s">
        <v>1</v>
      </c>
      <c r="H4" s="221" t="s">
        <v>2</v>
      </c>
      <c r="I4" s="223" t="s">
        <v>3</v>
      </c>
      <c r="J4" s="224"/>
      <c r="K4" s="225"/>
      <c r="M4" s="10"/>
      <c r="N4" s="10"/>
      <c r="O4" s="11"/>
      <c r="R4" s="228"/>
      <c r="S4" s="226"/>
      <c r="T4" s="226"/>
      <c r="U4" s="226"/>
      <c r="V4" s="226"/>
      <c r="W4" s="226"/>
      <c r="X4" s="226"/>
    </row>
    <row r="5" spans="2:24" ht="15.95" customHeight="1" x14ac:dyDescent="0.25">
      <c r="B5" s="145"/>
      <c r="C5" s="114"/>
      <c r="D5" s="150"/>
      <c r="G5" s="222"/>
      <c r="H5" s="222"/>
      <c r="I5" s="1">
        <v>0.1</v>
      </c>
      <c r="J5" s="1">
        <v>0.2</v>
      </c>
      <c r="K5" s="1">
        <v>0.4</v>
      </c>
      <c r="M5" s="10"/>
      <c r="N5" s="10"/>
      <c r="O5" s="12"/>
      <c r="R5" s="228"/>
      <c r="S5" s="226"/>
      <c r="T5" s="226"/>
      <c r="U5" s="226"/>
      <c r="V5" s="226"/>
      <c r="W5" s="226"/>
      <c r="X5" s="226"/>
    </row>
    <row r="6" spans="2:24" ht="12.75" customHeight="1" x14ac:dyDescent="0.2">
      <c r="B6" s="146">
        <v>34335</v>
      </c>
      <c r="C6" s="105" t="s">
        <v>7</v>
      </c>
      <c r="D6" s="151">
        <v>32882</v>
      </c>
      <c r="G6" s="2">
        <v>34700</v>
      </c>
      <c r="H6" s="9">
        <f>IF(G6="","",VLOOKUP(G6,tabela_minimo,3,0))</f>
        <v>70</v>
      </c>
      <c r="I6" s="3">
        <f>H6*$I$5</f>
        <v>7</v>
      </c>
      <c r="J6" s="3">
        <f>H6*$J$5</f>
        <v>14</v>
      </c>
      <c r="K6" s="3">
        <f>H6*$K$5</f>
        <v>28</v>
      </c>
      <c r="M6" s="10"/>
      <c r="N6" s="10"/>
      <c r="O6" s="12"/>
      <c r="R6" s="64"/>
      <c r="S6" s="72"/>
      <c r="T6" s="72"/>
      <c r="U6" s="72"/>
      <c r="V6" s="72"/>
      <c r="W6" s="72"/>
      <c r="X6" s="72"/>
    </row>
    <row r="7" spans="2:24" x14ac:dyDescent="0.2">
      <c r="B7" s="147">
        <v>34366</v>
      </c>
      <c r="C7" s="103" t="s">
        <v>7</v>
      </c>
      <c r="D7" s="152">
        <v>42829</v>
      </c>
      <c r="G7" s="4">
        <v>35065</v>
      </c>
      <c r="H7" s="5">
        <f t="shared" ref="H7:H38" si="0">IF(G7="","",VLOOKUP(G7,tabela_minimo,3,0))</f>
        <v>100</v>
      </c>
      <c r="I7" s="5">
        <f t="shared" ref="I7:I35" si="1">H7*$I$5</f>
        <v>10</v>
      </c>
      <c r="J7" s="5">
        <f t="shared" ref="J7:J35" si="2">H7*$J$5</f>
        <v>20</v>
      </c>
      <c r="K7" s="5">
        <f t="shared" ref="K7:K35" si="3">H7*$K$5</f>
        <v>40</v>
      </c>
      <c r="M7" s="10"/>
      <c r="N7" s="10"/>
      <c r="O7" s="10"/>
      <c r="R7" s="64"/>
      <c r="S7" s="72"/>
      <c r="T7" s="72"/>
      <c r="U7" s="72"/>
      <c r="V7" s="72"/>
      <c r="W7" s="72"/>
      <c r="X7" s="72"/>
    </row>
    <row r="8" spans="2:24" x14ac:dyDescent="0.2">
      <c r="B8" s="147">
        <v>34394</v>
      </c>
      <c r="C8" s="103" t="s">
        <v>7</v>
      </c>
      <c r="D8" s="152">
        <v>60322.729500000001</v>
      </c>
      <c r="G8" s="4">
        <v>35431</v>
      </c>
      <c r="H8" s="5">
        <f t="shared" si="0"/>
        <v>112</v>
      </c>
      <c r="I8" s="5">
        <f t="shared" si="1"/>
        <v>11.200000000000001</v>
      </c>
      <c r="J8" s="5">
        <f t="shared" si="2"/>
        <v>22.400000000000002</v>
      </c>
      <c r="K8" s="5">
        <f t="shared" si="3"/>
        <v>44.800000000000004</v>
      </c>
      <c r="M8" s="13"/>
      <c r="N8" s="10"/>
      <c r="O8" s="10"/>
      <c r="R8" s="64"/>
      <c r="S8" s="72"/>
      <c r="T8" s="72"/>
      <c r="U8" s="72"/>
      <c r="V8" s="72"/>
      <c r="W8" s="72"/>
      <c r="X8" s="72"/>
    </row>
    <row r="9" spans="2:24" x14ac:dyDescent="0.2">
      <c r="B9" s="147">
        <v>34425</v>
      </c>
      <c r="C9" s="103" t="s">
        <v>7</v>
      </c>
      <c r="D9" s="152">
        <v>85776.776800000007</v>
      </c>
      <c r="G9" s="4">
        <v>35796</v>
      </c>
      <c r="H9" s="5">
        <f t="shared" si="0"/>
        <v>120</v>
      </c>
      <c r="I9" s="5">
        <f t="shared" si="1"/>
        <v>12</v>
      </c>
      <c r="J9" s="5">
        <f t="shared" si="2"/>
        <v>24</v>
      </c>
      <c r="K9" s="5">
        <f t="shared" si="3"/>
        <v>48</v>
      </c>
      <c r="M9" s="13"/>
      <c r="N9" s="10"/>
      <c r="O9" s="10"/>
      <c r="R9" s="64"/>
      <c r="S9" s="72"/>
      <c r="T9" s="72"/>
      <c r="U9" s="72"/>
      <c r="V9" s="72"/>
      <c r="W9" s="72"/>
      <c r="X9" s="72"/>
    </row>
    <row r="10" spans="2:24" x14ac:dyDescent="0.2">
      <c r="B10" s="147">
        <v>34455</v>
      </c>
      <c r="C10" s="103" t="s">
        <v>7</v>
      </c>
      <c r="D10" s="152">
        <v>121527.89880000001</v>
      </c>
      <c r="G10" s="4">
        <v>36161</v>
      </c>
      <c r="H10" s="5">
        <f t="shared" si="0"/>
        <v>130</v>
      </c>
      <c r="I10" s="5">
        <f t="shared" si="1"/>
        <v>13</v>
      </c>
      <c r="J10" s="5">
        <f t="shared" si="2"/>
        <v>26</v>
      </c>
      <c r="K10" s="5">
        <f t="shared" si="3"/>
        <v>52</v>
      </c>
      <c r="M10" s="13"/>
      <c r="N10" s="10"/>
      <c r="O10" s="10"/>
      <c r="R10" s="64"/>
      <c r="S10" s="72"/>
      <c r="T10" s="72"/>
      <c r="U10" s="72"/>
      <c r="V10" s="72"/>
      <c r="W10" s="72"/>
      <c r="X10" s="72"/>
    </row>
    <row r="11" spans="2:24" x14ac:dyDescent="0.2">
      <c r="B11" s="147">
        <v>34486</v>
      </c>
      <c r="C11" s="103" t="s">
        <v>7</v>
      </c>
      <c r="D11" s="152">
        <v>178172.5</v>
      </c>
      <c r="G11" s="4">
        <v>36526</v>
      </c>
      <c r="H11" s="5">
        <f t="shared" si="0"/>
        <v>136</v>
      </c>
      <c r="I11" s="5">
        <f t="shared" si="1"/>
        <v>13.600000000000001</v>
      </c>
      <c r="J11" s="5">
        <f t="shared" si="2"/>
        <v>27.200000000000003</v>
      </c>
      <c r="K11" s="5">
        <f t="shared" si="3"/>
        <v>54.400000000000006</v>
      </c>
      <c r="M11" s="10"/>
      <c r="N11" s="10"/>
      <c r="O11" s="10"/>
      <c r="R11" s="64"/>
      <c r="S11" s="72"/>
      <c r="T11" s="72"/>
      <c r="U11" s="72"/>
      <c r="V11" s="72"/>
      <c r="W11" s="72"/>
      <c r="X11" s="72"/>
    </row>
    <row r="12" spans="2:24" x14ac:dyDescent="0.2">
      <c r="B12" s="147">
        <v>34516</v>
      </c>
      <c r="C12" s="103" t="s">
        <v>8</v>
      </c>
      <c r="D12" s="152">
        <v>64.790000000000006</v>
      </c>
      <c r="G12" s="4">
        <v>36892</v>
      </c>
      <c r="H12" s="5">
        <f t="shared" si="0"/>
        <v>151</v>
      </c>
      <c r="I12" s="5">
        <f t="shared" si="1"/>
        <v>15.100000000000001</v>
      </c>
      <c r="J12" s="5">
        <f t="shared" si="2"/>
        <v>30.200000000000003</v>
      </c>
      <c r="K12" s="5">
        <f t="shared" si="3"/>
        <v>60.400000000000006</v>
      </c>
      <c r="M12" s="13"/>
      <c r="N12" s="10"/>
      <c r="O12" s="10"/>
      <c r="R12" s="64"/>
      <c r="S12" s="72"/>
      <c r="T12" s="72"/>
      <c r="U12" s="72"/>
      <c r="V12" s="72"/>
      <c r="W12" s="72"/>
      <c r="X12" s="72"/>
    </row>
    <row r="13" spans="2:24" x14ac:dyDescent="0.2">
      <c r="B13" s="147">
        <v>34547</v>
      </c>
      <c r="C13" s="103" t="s">
        <v>8</v>
      </c>
      <c r="D13" s="152">
        <v>64.790000000000006</v>
      </c>
      <c r="G13" s="4">
        <v>37257</v>
      </c>
      <c r="H13" s="5">
        <f t="shared" si="0"/>
        <v>180</v>
      </c>
      <c r="I13" s="5">
        <f t="shared" si="1"/>
        <v>18</v>
      </c>
      <c r="J13" s="5">
        <f t="shared" si="2"/>
        <v>36</v>
      </c>
      <c r="K13" s="5">
        <f t="shared" si="3"/>
        <v>72</v>
      </c>
      <c r="M13" s="13"/>
      <c r="N13" s="10"/>
      <c r="O13" s="10"/>
      <c r="R13" s="64"/>
      <c r="S13" s="72"/>
      <c r="T13" s="72"/>
      <c r="U13" s="72"/>
      <c r="V13" s="72"/>
      <c r="W13" s="72"/>
      <c r="X13" s="72"/>
    </row>
    <row r="14" spans="2:24" x14ac:dyDescent="0.2">
      <c r="B14" s="147">
        <v>34578</v>
      </c>
      <c r="C14" s="103" t="s">
        <v>8</v>
      </c>
      <c r="D14" s="152">
        <v>70</v>
      </c>
      <c r="G14" s="4">
        <v>37622</v>
      </c>
      <c r="H14" s="5">
        <f t="shared" si="0"/>
        <v>200</v>
      </c>
      <c r="I14" s="5">
        <f t="shared" si="1"/>
        <v>20</v>
      </c>
      <c r="J14" s="5">
        <f t="shared" si="2"/>
        <v>40</v>
      </c>
      <c r="K14" s="5">
        <f t="shared" si="3"/>
        <v>80</v>
      </c>
      <c r="M14" s="12"/>
      <c r="N14" s="10"/>
      <c r="O14" s="10"/>
      <c r="R14" s="64"/>
      <c r="S14" s="72"/>
      <c r="T14" s="72"/>
      <c r="U14" s="72"/>
      <c r="V14" s="72"/>
      <c r="W14" s="72"/>
      <c r="X14" s="72"/>
    </row>
    <row r="15" spans="2:24" x14ac:dyDescent="0.2">
      <c r="B15" s="147">
        <v>34608</v>
      </c>
      <c r="C15" s="103" t="s">
        <v>8</v>
      </c>
      <c r="D15" s="152">
        <v>70</v>
      </c>
      <c r="G15" s="4">
        <v>37987</v>
      </c>
      <c r="H15" s="5">
        <f t="shared" si="0"/>
        <v>240</v>
      </c>
      <c r="I15" s="5">
        <f t="shared" si="1"/>
        <v>24</v>
      </c>
      <c r="J15" s="5">
        <f t="shared" si="2"/>
        <v>48</v>
      </c>
      <c r="K15" s="5">
        <f t="shared" si="3"/>
        <v>96</v>
      </c>
      <c r="M15" s="10"/>
      <c r="N15" s="10"/>
      <c r="O15" s="10"/>
      <c r="R15" s="64"/>
      <c r="S15" s="72"/>
      <c r="T15" s="72"/>
      <c r="U15" s="72"/>
      <c r="V15" s="72"/>
      <c r="W15" s="72"/>
      <c r="X15" s="72"/>
    </row>
    <row r="16" spans="2:24" x14ac:dyDescent="0.2">
      <c r="B16" s="147">
        <v>34639</v>
      </c>
      <c r="C16" s="103" t="s">
        <v>8</v>
      </c>
      <c r="D16" s="152">
        <v>70</v>
      </c>
      <c r="G16" s="4">
        <v>38353</v>
      </c>
      <c r="H16" s="5">
        <f t="shared" si="0"/>
        <v>260</v>
      </c>
      <c r="I16" s="5">
        <f t="shared" si="1"/>
        <v>26</v>
      </c>
      <c r="J16" s="5">
        <f t="shared" si="2"/>
        <v>52</v>
      </c>
      <c r="K16" s="5">
        <f t="shared" si="3"/>
        <v>104</v>
      </c>
      <c r="M16" s="10"/>
      <c r="N16" s="10"/>
      <c r="O16" s="10"/>
      <c r="R16" s="64"/>
      <c r="S16" s="72"/>
      <c r="T16" s="72"/>
      <c r="U16" s="72"/>
      <c r="V16" s="72"/>
      <c r="W16" s="72"/>
      <c r="X16" s="72"/>
    </row>
    <row r="17" spans="2:24" x14ac:dyDescent="0.2">
      <c r="B17" s="148">
        <v>34669</v>
      </c>
      <c r="C17" s="104" t="s">
        <v>8</v>
      </c>
      <c r="D17" s="153">
        <v>70</v>
      </c>
      <c r="G17" s="4">
        <v>38718</v>
      </c>
      <c r="H17" s="5">
        <f t="shared" si="0"/>
        <v>300</v>
      </c>
      <c r="I17" s="5">
        <f t="shared" si="1"/>
        <v>30</v>
      </c>
      <c r="J17" s="5">
        <f t="shared" si="2"/>
        <v>60</v>
      </c>
      <c r="K17" s="5">
        <f t="shared" si="3"/>
        <v>120</v>
      </c>
      <c r="R17" s="64"/>
      <c r="S17" s="72"/>
      <c r="T17" s="72"/>
      <c r="U17" s="72"/>
      <c r="V17" s="72"/>
      <c r="W17" s="72"/>
      <c r="X17" s="72"/>
    </row>
    <row r="18" spans="2:24" x14ac:dyDescent="0.2">
      <c r="B18" s="146">
        <v>34700</v>
      </c>
      <c r="C18" s="105" t="s">
        <v>8</v>
      </c>
      <c r="D18" s="151">
        <v>70</v>
      </c>
      <c r="G18" s="4">
        <v>39083</v>
      </c>
      <c r="H18" s="5">
        <f t="shared" si="0"/>
        <v>350</v>
      </c>
      <c r="I18" s="5">
        <f t="shared" si="1"/>
        <v>35</v>
      </c>
      <c r="J18" s="5">
        <f t="shared" si="2"/>
        <v>70</v>
      </c>
      <c r="K18" s="5">
        <f t="shared" si="3"/>
        <v>140</v>
      </c>
      <c r="R18" s="64"/>
      <c r="S18" s="72"/>
      <c r="T18" s="72"/>
      <c r="U18" s="72"/>
      <c r="V18" s="72"/>
      <c r="W18" s="72"/>
      <c r="X18" s="72"/>
    </row>
    <row r="19" spans="2:24" x14ac:dyDescent="0.2">
      <c r="B19" s="147">
        <v>34731</v>
      </c>
      <c r="C19" s="103" t="s">
        <v>8</v>
      </c>
      <c r="D19" s="152">
        <v>70</v>
      </c>
      <c r="G19" s="4">
        <v>39448</v>
      </c>
      <c r="H19" s="5">
        <f t="shared" si="0"/>
        <v>380</v>
      </c>
      <c r="I19" s="5">
        <f t="shared" si="1"/>
        <v>38</v>
      </c>
      <c r="J19" s="5">
        <f t="shared" si="2"/>
        <v>76</v>
      </c>
      <c r="K19" s="5">
        <f t="shared" si="3"/>
        <v>152</v>
      </c>
      <c r="R19" s="64"/>
      <c r="S19" s="72"/>
      <c r="T19" s="72"/>
      <c r="U19" s="72"/>
      <c r="V19" s="72"/>
      <c r="W19" s="72"/>
      <c r="X19" s="72"/>
    </row>
    <row r="20" spans="2:24" x14ac:dyDescent="0.2">
      <c r="B20" s="147">
        <v>34759</v>
      </c>
      <c r="C20" s="103" t="s">
        <v>8</v>
      </c>
      <c r="D20" s="152">
        <v>70</v>
      </c>
      <c r="G20" s="4">
        <v>39814</v>
      </c>
      <c r="H20" s="5">
        <f t="shared" si="0"/>
        <v>415</v>
      </c>
      <c r="I20" s="5">
        <f t="shared" si="1"/>
        <v>41.5</v>
      </c>
      <c r="J20" s="5">
        <f t="shared" si="2"/>
        <v>83</v>
      </c>
      <c r="K20" s="5">
        <f t="shared" si="3"/>
        <v>166</v>
      </c>
      <c r="R20" s="64"/>
      <c r="S20" s="72"/>
      <c r="T20" s="72"/>
      <c r="U20" s="72"/>
      <c r="V20" s="72"/>
      <c r="W20" s="72"/>
      <c r="X20" s="72"/>
    </row>
    <row r="21" spans="2:24" x14ac:dyDescent="0.2">
      <c r="B21" s="147">
        <v>34790</v>
      </c>
      <c r="C21" s="103" t="s">
        <v>8</v>
      </c>
      <c r="D21" s="152">
        <v>70</v>
      </c>
      <c r="G21" s="4">
        <v>40179</v>
      </c>
      <c r="H21" s="5">
        <f t="shared" si="0"/>
        <v>510</v>
      </c>
      <c r="I21" s="5">
        <f t="shared" si="1"/>
        <v>51</v>
      </c>
      <c r="J21" s="5">
        <f t="shared" si="2"/>
        <v>102</v>
      </c>
      <c r="K21" s="5">
        <f t="shared" si="3"/>
        <v>204</v>
      </c>
      <c r="R21" s="64"/>
      <c r="S21" s="72"/>
      <c r="T21" s="72"/>
      <c r="U21" s="72"/>
      <c r="V21" s="72"/>
      <c r="W21" s="72"/>
      <c r="X21" s="72"/>
    </row>
    <row r="22" spans="2:24" x14ac:dyDescent="0.2">
      <c r="B22" s="147">
        <v>34820</v>
      </c>
      <c r="C22" s="103" t="s">
        <v>8</v>
      </c>
      <c r="D22" s="152">
        <v>100</v>
      </c>
      <c r="G22" s="4">
        <v>40544</v>
      </c>
      <c r="H22" s="5">
        <f t="shared" si="0"/>
        <v>540</v>
      </c>
      <c r="I22" s="5">
        <f t="shared" si="1"/>
        <v>54</v>
      </c>
      <c r="J22" s="5">
        <f t="shared" si="2"/>
        <v>108</v>
      </c>
      <c r="K22" s="5">
        <f t="shared" si="3"/>
        <v>216</v>
      </c>
      <c r="R22" s="64"/>
      <c r="S22" s="72"/>
      <c r="T22" s="72"/>
      <c r="U22" s="72"/>
      <c r="V22" s="72"/>
      <c r="W22" s="72"/>
      <c r="X22" s="72"/>
    </row>
    <row r="23" spans="2:24" x14ac:dyDescent="0.2">
      <c r="B23" s="147">
        <v>34851</v>
      </c>
      <c r="C23" s="103" t="s">
        <v>8</v>
      </c>
      <c r="D23" s="152">
        <v>100</v>
      </c>
      <c r="G23" s="4">
        <v>40575</v>
      </c>
      <c r="H23" s="5">
        <f t="shared" si="0"/>
        <v>540</v>
      </c>
      <c r="I23" s="5">
        <f t="shared" si="1"/>
        <v>54</v>
      </c>
      <c r="J23" s="5">
        <f t="shared" si="2"/>
        <v>108</v>
      </c>
      <c r="K23" s="5">
        <f t="shared" si="3"/>
        <v>216</v>
      </c>
      <c r="R23" s="64"/>
      <c r="S23" s="72"/>
      <c r="T23" s="72"/>
      <c r="U23" s="72"/>
      <c r="V23" s="72"/>
      <c r="W23" s="72"/>
      <c r="X23" s="72"/>
    </row>
    <row r="24" spans="2:24" x14ac:dyDescent="0.2">
      <c r="B24" s="147">
        <v>34881</v>
      </c>
      <c r="C24" s="103" t="s">
        <v>8</v>
      </c>
      <c r="D24" s="152">
        <v>100</v>
      </c>
      <c r="G24" s="4">
        <v>40603</v>
      </c>
      <c r="H24" s="5">
        <f t="shared" si="0"/>
        <v>545</v>
      </c>
      <c r="I24" s="5">
        <f t="shared" si="1"/>
        <v>54.5</v>
      </c>
      <c r="J24" s="5">
        <f t="shared" si="2"/>
        <v>109</v>
      </c>
      <c r="K24" s="5">
        <f t="shared" si="3"/>
        <v>218</v>
      </c>
      <c r="R24" s="64"/>
      <c r="S24" s="72"/>
      <c r="T24" s="72"/>
      <c r="U24" s="72"/>
      <c r="V24" s="72"/>
      <c r="W24" s="72"/>
      <c r="X24" s="72"/>
    </row>
    <row r="25" spans="2:24" x14ac:dyDescent="0.2">
      <c r="B25" s="147">
        <v>34912</v>
      </c>
      <c r="C25" s="103" t="s">
        <v>8</v>
      </c>
      <c r="D25" s="152">
        <v>100</v>
      </c>
      <c r="G25" s="4">
        <v>40909</v>
      </c>
      <c r="H25" s="5">
        <f t="shared" si="0"/>
        <v>622</v>
      </c>
      <c r="I25" s="5">
        <f t="shared" si="1"/>
        <v>62.2</v>
      </c>
      <c r="J25" s="5">
        <f t="shared" si="2"/>
        <v>124.4</v>
      </c>
      <c r="K25" s="5">
        <f t="shared" si="3"/>
        <v>248.8</v>
      </c>
      <c r="R25" s="64"/>
      <c r="S25" s="72"/>
      <c r="T25" s="72"/>
      <c r="U25" s="72"/>
      <c r="V25" s="72"/>
      <c r="W25" s="72"/>
      <c r="X25" s="72"/>
    </row>
    <row r="26" spans="2:24" x14ac:dyDescent="0.2">
      <c r="B26" s="147">
        <v>34943</v>
      </c>
      <c r="C26" s="103" t="s">
        <v>8</v>
      </c>
      <c r="D26" s="152">
        <v>100</v>
      </c>
      <c r="G26" s="4">
        <v>41275</v>
      </c>
      <c r="H26" s="5">
        <f t="shared" si="0"/>
        <v>678</v>
      </c>
      <c r="I26" s="5">
        <f t="shared" si="1"/>
        <v>67.8</v>
      </c>
      <c r="J26" s="5">
        <f t="shared" si="2"/>
        <v>135.6</v>
      </c>
      <c r="K26" s="5">
        <f t="shared" si="3"/>
        <v>271.2</v>
      </c>
      <c r="R26" s="64"/>
      <c r="S26" s="72"/>
      <c r="T26" s="72"/>
      <c r="U26" s="72"/>
      <c r="V26" s="72"/>
      <c r="W26" s="72"/>
      <c r="X26" s="72"/>
    </row>
    <row r="27" spans="2:24" x14ac:dyDescent="0.2">
      <c r="B27" s="147">
        <v>34973</v>
      </c>
      <c r="C27" s="103" t="s">
        <v>8</v>
      </c>
      <c r="D27" s="152">
        <v>100</v>
      </c>
      <c r="G27" s="4">
        <v>41640</v>
      </c>
      <c r="H27" s="5">
        <f t="shared" si="0"/>
        <v>724</v>
      </c>
      <c r="I27" s="5">
        <f t="shared" si="1"/>
        <v>72.400000000000006</v>
      </c>
      <c r="J27" s="5">
        <f t="shared" si="2"/>
        <v>144.80000000000001</v>
      </c>
      <c r="K27" s="5">
        <f t="shared" si="3"/>
        <v>289.60000000000002</v>
      </c>
      <c r="R27" s="64"/>
      <c r="S27" s="72"/>
      <c r="T27" s="72"/>
      <c r="U27" s="72"/>
      <c r="V27" s="72"/>
      <c r="W27" s="72"/>
      <c r="X27" s="72"/>
    </row>
    <row r="28" spans="2:24" x14ac:dyDescent="0.2">
      <c r="B28" s="147">
        <v>35004</v>
      </c>
      <c r="C28" s="103" t="s">
        <v>8</v>
      </c>
      <c r="D28" s="152">
        <v>100</v>
      </c>
      <c r="G28" s="4">
        <v>42005</v>
      </c>
      <c r="H28" s="5">
        <f t="shared" si="0"/>
        <v>788</v>
      </c>
      <c r="I28" s="5">
        <f t="shared" si="1"/>
        <v>78.800000000000011</v>
      </c>
      <c r="J28" s="5">
        <f t="shared" si="2"/>
        <v>157.60000000000002</v>
      </c>
      <c r="K28" s="5">
        <f t="shared" si="3"/>
        <v>315.20000000000005</v>
      </c>
      <c r="R28" s="64"/>
      <c r="S28" s="72"/>
      <c r="T28" s="72"/>
      <c r="U28" s="72"/>
      <c r="V28" s="72"/>
      <c r="W28" s="72"/>
      <c r="X28" s="72"/>
    </row>
    <row r="29" spans="2:24" x14ac:dyDescent="0.2">
      <c r="B29" s="148">
        <v>35034</v>
      </c>
      <c r="C29" s="104" t="s">
        <v>8</v>
      </c>
      <c r="D29" s="153">
        <v>100</v>
      </c>
      <c r="G29" s="4">
        <v>42370</v>
      </c>
      <c r="H29" s="5">
        <f t="shared" si="0"/>
        <v>880</v>
      </c>
      <c r="I29" s="5">
        <f t="shared" si="1"/>
        <v>88</v>
      </c>
      <c r="J29" s="5">
        <f t="shared" si="2"/>
        <v>176</v>
      </c>
      <c r="K29" s="5">
        <f t="shared" si="3"/>
        <v>352</v>
      </c>
      <c r="R29" s="64"/>
      <c r="S29" s="72"/>
      <c r="T29" s="72"/>
      <c r="U29" s="72"/>
      <c r="V29" s="72"/>
      <c r="W29" s="72"/>
      <c r="X29" s="72"/>
    </row>
    <row r="30" spans="2:24" x14ac:dyDescent="0.2">
      <c r="B30" s="146">
        <v>35065</v>
      </c>
      <c r="C30" s="105" t="s">
        <v>8</v>
      </c>
      <c r="D30" s="151">
        <v>100</v>
      </c>
      <c r="G30" s="4">
        <v>42736</v>
      </c>
      <c r="H30" s="5">
        <f t="shared" si="0"/>
        <v>937</v>
      </c>
      <c r="I30" s="5">
        <f t="shared" si="1"/>
        <v>93.7</v>
      </c>
      <c r="J30" s="5">
        <f t="shared" si="2"/>
        <v>187.4</v>
      </c>
      <c r="K30" s="5">
        <f t="shared" si="3"/>
        <v>374.8</v>
      </c>
      <c r="R30" s="64"/>
      <c r="S30" s="72"/>
      <c r="T30" s="72"/>
      <c r="U30" s="72"/>
      <c r="V30" s="72"/>
      <c r="W30" s="72"/>
      <c r="X30" s="72"/>
    </row>
    <row r="31" spans="2:24" x14ac:dyDescent="0.2">
      <c r="B31" s="147">
        <v>35096</v>
      </c>
      <c r="C31" s="103" t="s">
        <v>8</v>
      </c>
      <c r="D31" s="152">
        <v>100</v>
      </c>
      <c r="G31" s="4">
        <v>43101</v>
      </c>
      <c r="H31" s="5">
        <f t="shared" si="0"/>
        <v>954</v>
      </c>
      <c r="I31" s="5">
        <f t="shared" si="1"/>
        <v>95.4</v>
      </c>
      <c r="J31" s="5">
        <f t="shared" si="2"/>
        <v>190.8</v>
      </c>
      <c r="K31" s="5">
        <f t="shared" si="3"/>
        <v>381.6</v>
      </c>
      <c r="R31" s="64"/>
      <c r="S31" s="72"/>
      <c r="T31" s="72"/>
      <c r="U31" s="72"/>
      <c r="V31" s="72"/>
      <c r="W31" s="72"/>
      <c r="X31" s="72"/>
    </row>
    <row r="32" spans="2:24" x14ac:dyDescent="0.2">
      <c r="B32" s="147">
        <v>35125</v>
      </c>
      <c r="C32" s="103" t="s">
        <v>8</v>
      </c>
      <c r="D32" s="152">
        <v>100</v>
      </c>
      <c r="G32" s="4">
        <v>43466</v>
      </c>
      <c r="H32" s="5">
        <f t="shared" si="0"/>
        <v>998</v>
      </c>
      <c r="I32" s="5">
        <f t="shared" si="1"/>
        <v>99.800000000000011</v>
      </c>
      <c r="J32" s="5">
        <f t="shared" si="2"/>
        <v>199.60000000000002</v>
      </c>
      <c r="K32" s="5">
        <f t="shared" si="3"/>
        <v>399.20000000000005</v>
      </c>
      <c r="R32" s="64"/>
      <c r="S32" s="72"/>
      <c r="T32" s="72"/>
      <c r="U32" s="72"/>
      <c r="V32" s="72"/>
      <c r="W32" s="72"/>
      <c r="X32" s="72"/>
    </row>
    <row r="33" spans="2:24" x14ac:dyDescent="0.2">
      <c r="B33" s="147">
        <v>35156</v>
      </c>
      <c r="C33" s="103" t="s">
        <v>8</v>
      </c>
      <c r="D33" s="152">
        <v>100</v>
      </c>
      <c r="G33" s="4">
        <v>43831</v>
      </c>
      <c r="H33" s="5">
        <f t="shared" si="0"/>
        <v>1039</v>
      </c>
      <c r="I33" s="5">
        <f t="shared" si="1"/>
        <v>103.9</v>
      </c>
      <c r="J33" s="5">
        <f t="shared" si="2"/>
        <v>207.8</v>
      </c>
      <c r="K33" s="5">
        <f t="shared" si="3"/>
        <v>415.6</v>
      </c>
      <c r="R33" s="64"/>
      <c r="S33" s="72"/>
      <c r="T33" s="72"/>
      <c r="U33" s="72"/>
      <c r="V33" s="72"/>
      <c r="W33" s="72"/>
      <c r="X33" s="72"/>
    </row>
    <row r="34" spans="2:24" x14ac:dyDescent="0.2">
      <c r="B34" s="147">
        <v>35186</v>
      </c>
      <c r="C34" s="103" t="s">
        <v>8</v>
      </c>
      <c r="D34" s="152">
        <v>112</v>
      </c>
      <c r="G34" s="4">
        <v>43862</v>
      </c>
      <c r="H34" s="5">
        <f t="shared" si="0"/>
        <v>1045</v>
      </c>
      <c r="I34" s="5">
        <f t="shared" si="1"/>
        <v>104.5</v>
      </c>
      <c r="J34" s="5">
        <f t="shared" si="2"/>
        <v>209</v>
      </c>
      <c r="K34" s="5">
        <f t="shared" si="3"/>
        <v>418</v>
      </c>
      <c r="R34" s="64"/>
      <c r="S34" s="72"/>
      <c r="T34" s="72"/>
      <c r="U34" s="72"/>
      <c r="V34" s="72"/>
      <c r="W34" s="72"/>
      <c r="X34" s="72"/>
    </row>
    <row r="35" spans="2:24" x14ac:dyDescent="0.2">
      <c r="B35" s="147">
        <v>35217</v>
      </c>
      <c r="C35" s="103" t="s">
        <v>8</v>
      </c>
      <c r="D35" s="152">
        <v>112</v>
      </c>
      <c r="G35" s="4">
        <v>44197</v>
      </c>
      <c r="H35" s="5">
        <f t="shared" si="0"/>
        <v>1100</v>
      </c>
      <c r="I35" s="5">
        <f t="shared" si="1"/>
        <v>110</v>
      </c>
      <c r="J35" s="5">
        <f t="shared" si="2"/>
        <v>220</v>
      </c>
      <c r="K35" s="5">
        <f t="shared" si="3"/>
        <v>440</v>
      </c>
      <c r="R35" s="64"/>
      <c r="S35" s="72"/>
      <c r="T35" s="72"/>
      <c r="U35" s="72"/>
      <c r="V35" s="72"/>
      <c r="W35" s="72"/>
      <c r="X35" s="72"/>
    </row>
    <row r="36" spans="2:24" x14ac:dyDescent="0.2">
      <c r="B36" s="147">
        <v>35247</v>
      </c>
      <c r="C36" s="103" t="s">
        <v>8</v>
      </c>
      <c r="D36" s="152">
        <v>112</v>
      </c>
      <c r="G36" s="4">
        <v>44562</v>
      </c>
      <c r="H36" s="5">
        <f t="shared" si="0"/>
        <v>1212</v>
      </c>
      <c r="I36" s="5">
        <f t="shared" ref="I36" si="4">H36*$I$5</f>
        <v>121.2</v>
      </c>
      <c r="J36" s="5">
        <f t="shared" ref="J36" si="5">H36*$J$5</f>
        <v>242.4</v>
      </c>
      <c r="K36" s="5">
        <f t="shared" ref="K36" si="6">H36*$K$5</f>
        <v>484.8</v>
      </c>
      <c r="R36" s="64"/>
      <c r="S36" s="72"/>
      <c r="T36" s="72"/>
      <c r="U36" s="72"/>
      <c r="V36" s="72"/>
      <c r="W36" s="72"/>
      <c r="X36" s="72"/>
    </row>
    <row r="37" spans="2:24" x14ac:dyDescent="0.2">
      <c r="B37" s="147">
        <v>35278</v>
      </c>
      <c r="C37" s="103" t="s">
        <v>8</v>
      </c>
      <c r="D37" s="152">
        <v>112</v>
      </c>
      <c r="G37" s="4">
        <v>44927</v>
      </c>
      <c r="H37" s="5">
        <f t="shared" si="0"/>
        <v>1302</v>
      </c>
      <c r="I37" s="5">
        <f t="shared" ref="I37:I38" si="7">H37*$I$5</f>
        <v>130.20000000000002</v>
      </c>
      <c r="J37" s="5">
        <f t="shared" ref="J37:J38" si="8">H37*$J$5</f>
        <v>260.40000000000003</v>
      </c>
      <c r="K37" s="5">
        <f t="shared" ref="K37:K38" si="9">H37*$K$5</f>
        <v>520.80000000000007</v>
      </c>
      <c r="R37" s="64"/>
      <c r="S37" s="72"/>
      <c r="T37" s="72"/>
      <c r="U37" s="72"/>
      <c r="V37" s="72"/>
      <c r="W37" s="72"/>
      <c r="X37" s="72"/>
    </row>
    <row r="38" spans="2:24" x14ac:dyDescent="0.2">
      <c r="B38" s="147">
        <v>35309</v>
      </c>
      <c r="C38" s="103" t="s">
        <v>8</v>
      </c>
      <c r="D38" s="152">
        <v>112</v>
      </c>
      <c r="G38" s="4">
        <v>45047</v>
      </c>
      <c r="H38" s="5">
        <f t="shared" si="0"/>
        <v>1320</v>
      </c>
      <c r="I38" s="5">
        <f t="shared" si="7"/>
        <v>132</v>
      </c>
      <c r="J38" s="5">
        <f t="shared" si="8"/>
        <v>264</v>
      </c>
      <c r="K38" s="5">
        <f t="shared" si="9"/>
        <v>528</v>
      </c>
      <c r="R38" s="64"/>
      <c r="S38" s="72"/>
      <c r="T38" s="72"/>
      <c r="U38" s="72"/>
      <c r="V38" s="72"/>
      <c r="W38" s="72"/>
      <c r="X38" s="72"/>
    </row>
    <row r="39" spans="2:24" x14ac:dyDescent="0.2">
      <c r="B39" s="147">
        <v>35339</v>
      </c>
      <c r="C39" s="103" t="s">
        <v>8</v>
      </c>
      <c r="D39" s="152">
        <v>112</v>
      </c>
      <c r="G39" s="4">
        <v>45292</v>
      </c>
      <c r="H39" s="5">
        <v>1412</v>
      </c>
      <c r="I39" s="5">
        <f t="shared" ref="I39:I40" si="10">H39*$I$5</f>
        <v>141.20000000000002</v>
      </c>
      <c r="J39" s="5">
        <f t="shared" ref="J39:J40" si="11">H39*$J$5</f>
        <v>282.40000000000003</v>
      </c>
      <c r="K39" s="5">
        <f t="shared" ref="K39:K40" si="12">H39*$K$5</f>
        <v>564.80000000000007</v>
      </c>
      <c r="R39" s="64"/>
      <c r="S39" s="72"/>
      <c r="T39" s="72"/>
      <c r="U39" s="72"/>
      <c r="V39" s="72"/>
      <c r="W39" s="72"/>
      <c r="X39" s="72"/>
    </row>
    <row r="40" spans="2:24" x14ac:dyDescent="0.2">
      <c r="B40" s="147">
        <v>35370</v>
      </c>
      <c r="C40" s="103" t="s">
        <v>8</v>
      </c>
      <c r="D40" s="152">
        <v>112</v>
      </c>
      <c r="G40" s="4">
        <v>45658</v>
      </c>
      <c r="H40" s="5">
        <v>1518</v>
      </c>
      <c r="I40" s="5">
        <f t="shared" si="10"/>
        <v>151.80000000000001</v>
      </c>
      <c r="J40" s="5">
        <f t="shared" si="11"/>
        <v>303.60000000000002</v>
      </c>
      <c r="K40" s="5">
        <f t="shared" si="12"/>
        <v>607.20000000000005</v>
      </c>
      <c r="R40" s="64"/>
      <c r="S40" s="72"/>
      <c r="T40" s="72"/>
      <c r="U40" s="72"/>
      <c r="V40" s="72"/>
      <c r="W40" s="72"/>
      <c r="X40" s="72"/>
    </row>
    <row r="41" spans="2:24" x14ac:dyDescent="0.2">
      <c r="B41" s="148">
        <v>35400</v>
      </c>
      <c r="C41" s="104" t="s">
        <v>8</v>
      </c>
      <c r="D41" s="153">
        <v>112</v>
      </c>
      <c r="G41" s="6">
        <v>46023</v>
      </c>
      <c r="H41" s="7">
        <v>1621</v>
      </c>
      <c r="I41" s="7">
        <f t="shared" ref="I41" si="13">H41*$I$5</f>
        <v>162.10000000000002</v>
      </c>
      <c r="J41" s="7">
        <f t="shared" ref="J41" si="14">H41*$J$5</f>
        <v>324.20000000000005</v>
      </c>
      <c r="K41" s="7">
        <f t="shared" ref="K41" si="15">H41*$K$5</f>
        <v>648.40000000000009</v>
      </c>
      <c r="R41" s="64"/>
      <c r="S41" s="72"/>
      <c r="T41" s="72"/>
      <c r="U41" s="72"/>
      <c r="V41" s="72"/>
      <c r="W41" s="72"/>
      <c r="X41" s="72"/>
    </row>
    <row r="42" spans="2:24" x14ac:dyDescent="0.2">
      <c r="B42" s="146">
        <v>35431</v>
      </c>
      <c r="C42" s="105" t="s">
        <v>8</v>
      </c>
      <c r="D42" s="151">
        <v>112</v>
      </c>
      <c r="R42" s="64"/>
      <c r="S42" s="72"/>
      <c r="T42" s="72"/>
      <c r="U42" s="72"/>
      <c r="V42" s="72"/>
      <c r="W42" s="72"/>
      <c r="X42" s="72"/>
    </row>
    <row r="43" spans="2:24" x14ac:dyDescent="0.2">
      <c r="B43" s="147">
        <v>35462</v>
      </c>
      <c r="C43" s="103" t="s">
        <v>8</v>
      </c>
      <c r="D43" s="152">
        <v>112</v>
      </c>
      <c r="R43" s="64"/>
      <c r="S43" s="72"/>
      <c r="T43" s="72"/>
      <c r="U43" s="72"/>
      <c r="V43" s="72"/>
      <c r="W43" s="72"/>
      <c r="X43" s="72"/>
    </row>
    <row r="44" spans="2:24" x14ac:dyDescent="0.2">
      <c r="B44" s="147">
        <v>35490</v>
      </c>
      <c r="C44" s="103" t="s">
        <v>8</v>
      </c>
      <c r="D44" s="152">
        <v>112</v>
      </c>
      <c r="R44" s="64"/>
      <c r="S44" s="72"/>
      <c r="T44" s="72"/>
      <c r="U44" s="72"/>
      <c r="V44" s="72"/>
      <c r="W44" s="72"/>
      <c r="X44" s="72"/>
    </row>
    <row r="45" spans="2:24" x14ac:dyDescent="0.2">
      <c r="B45" s="147">
        <v>35521</v>
      </c>
      <c r="C45" s="103" t="s">
        <v>8</v>
      </c>
      <c r="D45" s="152">
        <v>112</v>
      </c>
      <c r="R45" s="64"/>
      <c r="S45" s="72"/>
      <c r="T45" s="72"/>
      <c r="U45" s="72"/>
      <c r="V45" s="72"/>
      <c r="W45" s="72"/>
      <c r="X45" s="72"/>
    </row>
    <row r="46" spans="2:24" x14ac:dyDescent="0.2">
      <c r="B46" s="147">
        <v>35551</v>
      </c>
      <c r="C46" s="103" t="s">
        <v>8</v>
      </c>
      <c r="D46" s="152">
        <v>120</v>
      </c>
      <c r="R46" s="64"/>
      <c r="S46" s="72"/>
      <c r="T46" s="72"/>
      <c r="U46" s="72"/>
      <c r="V46" s="72"/>
      <c r="W46" s="72"/>
      <c r="X46" s="72"/>
    </row>
    <row r="47" spans="2:24" x14ac:dyDescent="0.2">
      <c r="B47" s="147">
        <v>35582</v>
      </c>
      <c r="C47" s="103" t="s">
        <v>8</v>
      </c>
      <c r="D47" s="152">
        <v>120</v>
      </c>
      <c r="R47" s="64"/>
      <c r="S47" s="72"/>
      <c r="T47" s="72"/>
      <c r="U47" s="72"/>
      <c r="V47" s="72"/>
      <c r="W47" s="72"/>
      <c r="X47" s="72"/>
    </row>
    <row r="48" spans="2:24" x14ac:dyDescent="0.2">
      <c r="B48" s="147">
        <v>35612</v>
      </c>
      <c r="C48" s="103" t="s">
        <v>8</v>
      </c>
      <c r="D48" s="152">
        <v>120</v>
      </c>
      <c r="R48" s="64"/>
      <c r="S48" s="72"/>
      <c r="T48" s="72"/>
      <c r="U48" s="72"/>
      <c r="V48" s="72"/>
      <c r="W48" s="72"/>
      <c r="X48" s="72"/>
    </row>
    <row r="49" spans="2:24" x14ac:dyDescent="0.2">
      <c r="B49" s="147">
        <v>35643</v>
      </c>
      <c r="C49" s="103" t="s">
        <v>8</v>
      </c>
      <c r="D49" s="152">
        <v>120</v>
      </c>
      <c r="R49" s="64"/>
      <c r="S49" s="72"/>
      <c r="T49" s="72"/>
      <c r="U49" s="72"/>
      <c r="V49" s="72"/>
      <c r="W49" s="72"/>
      <c r="X49" s="72"/>
    </row>
    <row r="50" spans="2:24" x14ac:dyDescent="0.2">
      <c r="B50" s="147">
        <v>35674</v>
      </c>
      <c r="C50" s="103" t="s">
        <v>8</v>
      </c>
      <c r="D50" s="152">
        <v>120</v>
      </c>
      <c r="R50" s="64"/>
      <c r="S50" s="72"/>
      <c r="T50" s="72"/>
      <c r="U50" s="72"/>
      <c r="V50" s="72"/>
      <c r="W50" s="72"/>
      <c r="X50" s="72"/>
    </row>
    <row r="51" spans="2:24" x14ac:dyDescent="0.2">
      <c r="B51" s="147">
        <v>35704</v>
      </c>
      <c r="C51" s="103" t="s">
        <v>8</v>
      </c>
      <c r="D51" s="152">
        <v>120</v>
      </c>
      <c r="R51" s="64"/>
      <c r="S51" s="72"/>
      <c r="T51" s="72"/>
      <c r="U51" s="72"/>
      <c r="V51" s="72"/>
      <c r="W51" s="72"/>
      <c r="X51" s="72"/>
    </row>
    <row r="52" spans="2:24" x14ac:dyDescent="0.2">
      <c r="B52" s="147">
        <v>35735</v>
      </c>
      <c r="C52" s="103" t="s">
        <v>8</v>
      </c>
      <c r="D52" s="152">
        <v>120</v>
      </c>
      <c r="R52" s="64"/>
      <c r="S52" s="72"/>
      <c r="T52" s="72"/>
      <c r="U52" s="72"/>
      <c r="V52" s="72"/>
      <c r="W52" s="72"/>
      <c r="X52" s="72"/>
    </row>
    <row r="53" spans="2:24" x14ac:dyDescent="0.2">
      <c r="B53" s="148">
        <v>35765</v>
      </c>
      <c r="C53" s="104" t="s">
        <v>8</v>
      </c>
      <c r="D53" s="153">
        <v>120</v>
      </c>
      <c r="R53" s="64"/>
      <c r="S53" s="72"/>
      <c r="T53" s="72"/>
      <c r="U53" s="72"/>
      <c r="V53" s="72"/>
      <c r="W53" s="72"/>
      <c r="X53" s="72"/>
    </row>
    <row r="54" spans="2:24" x14ac:dyDescent="0.2">
      <c r="B54" s="149">
        <v>35796</v>
      </c>
      <c r="C54" s="106" t="s">
        <v>8</v>
      </c>
      <c r="D54" s="154">
        <v>120</v>
      </c>
      <c r="R54" s="64"/>
      <c r="S54" s="72"/>
      <c r="T54" s="72"/>
      <c r="U54" s="72"/>
      <c r="V54" s="72"/>
      <c r="W54" s="72"/>
      <c r="X54" s="72"/>
    </row>
    <row r="55" spans="2:24" x14ac:dyDescent="0.2">
      <c r="B55" s="147">
        <v>35827</v>
      </c>
      <c r="C55" s="103" t="s">
        <v>8</v>
      </c>
      <c r="D55" s="152">
        <v>120</v>
      </c>
      <c r="R55" s="64"/>
      <c r="S55" s="72"/>
      <c r="T55" s="72"/>
      <c r="U55" s="72"/>
      <c r="V55" s="72"/>
      <c r="W55" s="72"/>
      <c r="X55" s="72"/>
    </row>
    <row r="56" spans="2:24" x14ac:dyDescent="0.2">
      <c r="B56" s="147">
        <v>35855</v>
      </c>
      <c r="C56" s="103" t="s">
        <v>8</v>
      </c>
      <c r="D56" s="152">
        <v>120</v>
      </c>
      <c r="R56" s="64"/>
      <c r="S56" s="72"/>
      <c r="T56" s="72"/>
      <c r="U56" s="72"/>
      <c r="V56" s="72"/>
      <c r="W56" s="72"/>
      <c r="X56" s="72"/>
    </row>
    <row r="57" spans="2:24" x14ac:dyDescent="0.2">
      <c r="B57" s="147">
        <v>35886</v>
      </c>
      <c r="C57" s="103" t="s">
        <v>8</v>
      </c>
      <c r="D57" s="152">
        <v>120</v>
      </c>
      <c r="R57" s="64"/>
      <c r="S57" s="72"/>
      <c r="T57" s="72"/>
      <c r="U57" s="72"/>
      <c r="V57" s="72"/>
      <c r="W57" s="72"/>
      <c r="X57" s="72"/>
    </row>
    <row r="58" spans="2:24" x14ac:dyDescent="0.2">
      <c r="B58" s="147">
        <v>35916</v>
      </c>
      <c r="C58" s="103" t="s">
        <v>8</v>
      </c>
      <c r="D58" s="152">
        <v>130</v>
      </c>
      <c r="R58" s="64"/>
      <c r="S58" s="72"/>
      <c r="T58" s="72"/>
      <c r="U58" s="72"/>
      <c r="V58" s="72"/>
      <c r="W58" s="72"/>
      <c r="X58" s="72"/>
    </row>
    <row r="59" spans="2:24" x14ac:dyDescent="0.2">
      <c r="B59" s="147">
        <v>35947</v>
      </c>
      <c r="C59" s="103" t="s">
        <v>8</v>
      </c>
      <c r="D59" s="152">
        <v>130</v>
      </c>
      <c r="R59" s="64"/>
      <c r="S59" s="72"/>
      <c r="T59" s="72"/>
      <c r="U59" s="72"/>
      <c r="V59" s="72"/>
      <c r="W59" s="72"/>
      <c r="X59" s="72"/>
    </row>
    <row r="60" spans="2:24" x14ac:dyDescent="0.2">
      <c r="B60" s="147">
        <v>35977</v>
      </c>
      <c r="C60" s="103" t="s">
        <v>8</v>
      </c>
      <c r="D60" s="152">
        <v>130</v>
      </c>
      <c r="R60" s="64"/>
      <c r="S60" s="72"/>
      <c r="T60" s="72"/>
      <c r="U60" s="72"/>
      <c r="V60" s="72"/>
      <c r="W60" s="72"/>
      <c r="X60" s="72"/>
    </row>
    <row r="61" spans="2:24" x14ac:dyDescent="0.2">
      <c r="B61" s="147">
        <v>36008</v>
      </c>
      <c r="C61" s="103" t="s">
        <v>8</v>
      </c>
      <c r="D61" s="152">
        <v>130</v>
      </c>
      <c r="R61" s="64"/>
      <c r="S61" s="72"/>
      <c r="T61" s="72"/>
      <c r="U61" s="72"/>
      <c r="V61" s="72"/>
      <c r="W61" s="72"/>
      <c r="X61" s="72"/>
    </row>
    <row r="62" spans="2:24" x14ac:dyDescent="0.2">
      <c r="B62" s="147">
        <v>36039</v>
      </c>
      <c r="C62" s="103" t="s">
        <v>8</v>
      </c>
      <c r="D62" s="152">
        <v>130</v>
      </c>
      <c r="R62" s="64"/>
      <c r="S62" s="72"/>
      <c r="T62" s="72"/>
      <c r="U62" s="72"/>
      <c r="V62" s="72"/>
      <c r="W62" s="72"/>
      <c r="X62" s="72"/>
    </row>
    <row r="63" spans="2:24" x14ac:dyDescent="0.2">
      <c r="B63" s="147">
        <v>36069</v>
      </c>
      <c r="C63" s="103" t="s">
        <v>8</v>
      </c>
      <c r="D63" s="152">
        <v>130</v>
      </c>
      <c r="R63" s="64"/>
      <c r="S63" s="72"/>
      <c r="T63" s="72"/>
      <c r="U63" s="72"/>
      <c r="V63" s="72"/>
      <c r="W63" s="72"/>
      <c r="X63" s="72"/>
    </row>
    <row r="64" spans="2:24" x14ac:dyDescent="0.2">
      <c r="B64" s="147">
        <v>36100</v>
      </c>
      <c r="C64" s="103" t="s">
        <v>8</v>
      </c>
      <c r="D64" s="152">
        <v>130</v>
      </c>
      <c r="R64" s="64"/>
      <c r="S64" s="72"/>
      <c r="T64" s="72"/>
      <c r="U64" s="72"/>
      <c r="V64" s="72"/>
      <c r="W64" s="72"/>
      <c r="X64" s="72"/>
    </row>
    <row r="65" spans="2:24" x14ac:dyDescent="0.2">
      <c r="B65" s="148">
        <v>36130</v>
      </c>
      <c r="C65" s="104" t="s">
        <v>8</v>
      </c>
      <c r="D65" s="153">
        <v>130</v>
      </c>
      <c r="R65" s="64"/>
      <c r="S65" s="72"/>
      <c r="T65" s="72"/>
      <c r="U65" s="72"/>
      <c r="V65" s="72"/>
      <c r="W65" s="72"/>
      <c r="X65" s="72"/>
    </row>
    <row r="66" spans="2:24" x14ac:dyDescent="0.2">
      <c r="B66" s="149">
        <v>36161</v>
      </c>
      <c r="C66" s="106" t="s">
        <v>8</v>
      </c>
      <c r="D66" s="154">
        <v>130</v>
      </c>
      <c r="R66" s="64"/>
      <c r="S66" s="72"/>
      <c r="T66" s="72"/>
      <c r="U66" s="72"/>
      <c r="V66" s="72"/>
      <c r="W66" s="72"/>
      <c r="X66" s="72"/>
    </row>
    <row r="67" spans="2:24" x14ac:dyDescent="0.2">
      <c r="B67" s="147">
        <v>36192</v>
      </c>
      <c r="C67" s="103" t="s">
        <v>8</v>
      </c>
      <c r="D67" s="152">
        <v>130</v>
      </c>
      <c r="R67" s="64"/>
      <c r="S67" s="72"/>
      <c r="T67" s="72"/>
      <c r="U67" s="72"/>
      <c r="V67" s="72"/>
      <c r="W67" s="72"/>
      <c r="X67" s="72"/>
    </row>
    <row r="68" spans="2:24" ht="15" x14ac:dyDescent="0.25">
      <c r="B68" s="147">
        <v>36220</v>
      </c>
      <c r="C68" s="103" t="s">
        <v>8</v>
      </c>
      <c r="D68" s="152">
        <v>130</v>
      </c>
      <c r="R68" s="8"/>
      <c r="V68" s="110"/>
      <c r="W68" s="111"/>
      <c r="X68" s="111"/>
    </row>
    <row r="69" spans="2:24" x14ac:dyDescent="0.2">
      <c r="B69" s="147">
        <v>36251</v>
      </c>
      <c r="C69" s="103" t="s">
        <v>8</v>
      </c>
      <c r="D69" s="152">
        <v>130</v>
      </c>
      <c r="R69" s="8"/>
      <c r="V69" s="10"/>
      <c r="W69" s="10"/>
      <c r="X69" s="10"/>
    </row>
    <row r="70" spans="2:24" x14ac:dyDescent="0.2">
      <c r="B70" s="147">
        <v>36281</v>
      </c>
      <c r="C70" s="103" t="s">
        <v>8</v>
      </c>
      <c r="D70" s="152">
        <v>136</v>
      </c>
      <c r="R70" s="8"/>
      <c r="V70" s="10"/>
      <c r="W70" s="10"/>
      <c r="X70" s="10"/>
    </row>
    <row r="71" spans="2:24" ht="15" x14ac:dyDescent="0.25">
      <c r="B71" s="147">
        <v>36312</v>
      </c>
      <c r="C71" s="103" t="s">
        <v>8</v>
      </c>
      <c r="D71" s="152">
        <v>136</v>
      </c>
      <c r="R71" s="8"/>
      <c r="V71" s="227"/>
      <c r="W71" s="227"/>
      <c r="X71" s="111"/>
    </row>
    <row r="72" spans="2:24" x14ac:dyDescent="0.2">
      <c r="B72" s="147">
        <v>36342</v>
      </c>
      <c r="C72" s="103" t="s">
        <v>8</v>
      </c>
      <c r="D72" s="152">
        <v>136</v>
      </c>
      <c r="V72" s="10"/>
      <c r="W72" s="10"/>
      <c r="X72" s="10"/>
    </row>
    <row r="73" spans="2:24" x14ac:dyDescent="0.2">
      <c r="B73" s="147">
        <v>36373</v>
      </c>
      <c r="C73" s="103" t="s">
        <v>8</v>
      </c>
      <c r="D73" s="152">
        <v>136</v>
      </c>
    </row>
    <row r="74" spans="2:24" x14ac:dyDescent="0.2">
      <c r="B74" s="147">
        <v>36404</v>
      </c>
      <c r="C74" s="103" t="s">
        <v>8</v>
      </c>
      <c r="D74" s="152">
        <v>136</v>
      </c>
    </row>
    <row r="75" spans="2:24" x14ac:dyDescent="0.2">
      <c r="B75" s="147">
        <v>36434</v>
      </c>
      <c r="C75" s="103" t="s">
        <v>8</v>
      </c>
      <c r="D75" s="152">
        <v>136</v>
      </c>
    </row>
    <row r="76" spans="2:24" x14ac:dyDescent="0.2">
      <c r="B76" s="147">
        <v>36465</v>
      </c>
      <c r="C76" s="103" t="s">
        <v>8</v>
      </c>
      <c r="D76" s="152">
        <v>136</v>
      </c>
    </row>
    <row r="77" spans="2:24" x14ac:dyDescent="0.2">
      <c r="B77" s="148">
        <v>36495</v>
      </c>
      <c r="C77" s="104" t="s">
        <v>8</v>
      </c>
      <c r="D77" s="153">
        <v>136</v>
      </c>
    </row>
    <row r="78" spans="2:24" x14ac:dyDescent="0.2">
      <c r="B78" s="149">
        <v>36526</v>
      </c>
      <c r="C78" s="106" t="s">
        <v>8</v>
      </c>
      <c r="D78" s="154">
        <v>136</v>
      </c>
    </row>
    <row r="79" spans="2:24" x14ac:dyDescent="0.2">
      <c r="B79" s="147">
        <v>36557</v>
      </c>
      <c r="C79" s="103" t="s">
        <v>8</v>
      </c>
      <c r="D79" s="152">
        <v>136</v>
      </c>
    </row>
    <row r="80" spans="2:24" x14ac:dyDescent="0.2">
      <c r="B80" s="147">
        <v>36586</v>
      </c>
      <c r="C80" s="103" t="s">
        <v>8</v>
      </c>
      <c r="D80" s="152">
        <v>136</v>
      </c>
    </row>
    <row r="81" spans="2:4" x14ac:dyDescent="0.2">
      <c r="B81" s="147">
        <v>36617</v>
      </c>
      <c r="C81" s="103" t="s">
        <v>8</v>
      </c>
      <c r="D81" s="152">
        <v>151</v>
      </c>
    </row>
    <row r="82" spans="2:4" x14ac:dyDescent="0.2">
      <c r="B82" s="147">
        <v>36647</v>
      </c>
      <c r="C82" s="103" t="s">
        <v>8</v>
      </c>
      <c r="D82" s="152">
        <v>151</v>
      </c>
    </row>
    <row r="83" spans="2:4" x14ac:dyDescent="0.2">
      <c r="B83" s="147">
        <v>36678</v>
      </c>
      <c r="C83" s="103" t="s">
        <v>8</v>
      </c>
      <c r="D83" s="152">
        <v>151</v>
      </c>
    </row>
    <row r="84" spans="2:4" x14ac:dyDescent="0.2">
      <c r="B84" s="147">
        <v>36708</v>
      </c>
      <c r="C84" s="103" t="s">
        <v>8</v>
      </c>
      <c r="D84" s="152">
        <v>151</v>
      </c>
    </row>
    <row r="85" spans="2:4" x14ac:dyDescent="0.2">
      <c r="B85" s="147">
        <v>36739</v>
      </c>
      <c r="C85" s="103" t="s">
        <v>8</v>
      </c>
      <c r="D85" s="152">
        <v>151</v>
      </c>
    </row>
    <row r="86" spans="2:4" x14ac:dyDescent="0.2">
      <c r="B86" s="147">
        <v>36770</v>
      </c>
      <c r="C86" s="103" t="s">
        <v>8</v>
      </c>
      <c r="D86" s="152">
        <v>151</v>
      </c>
    </row>
    <row r="87" spans="2:4" x14ac:dyDescent="0.2">
      <c r="B87" s="147">
        <v>36800</v>
      </c>
      <c r="C87" s="103" t="s">
        <v>8</v>
      </c>
      <c r="D87" s="152">
        <v>151</v>
      </c>
    </row>
    <row r="88" spans="2:4" x14ac:dyDescent="0.2">
      <c r="B88" s="147">
        <v>36831</v>
      </c>
      <c r="C88" s="103" t="s">
        <v>8</v>
      </c>
      <c r="D88" s="152">
        <v>151</v>
      </c>
    </row>
    <row r="89" spans="2:4" x14ac:dyDescent="0.2">
      <c r="B89" s="148">
        <v>36861</v>
      </c>
      <c r="C89" s="104" t="s">
        <v>8</v>
      </c>
      <c r="D89" s="153">
        <v>151</v>
      </c>
    </row>
    <row r="90" spans="2:4" x14ac:dyDescent="0.2">
      <c r="B90" s="149">
        <v>36892</v>
      </c>
      <c r="C90" s="106" t="s">
        <v>8</v>
      </c>
      <c r="D90" s="154">
        <v>151</v>
      </c>
    </row>
    <row r="91" spans="2:4" x14ac:dyDescent="0.2">
      <c r="B91" s="147">
        <v>36923</v>
      </c>
      <c r="C91" s="103" t="s">
        <v>8</v>
      </c>
      <c r="D91" s="152">
        <v>151</v>
      </c>
    </row>
    <row r="92" spans="2:4" x14ac:dyDescent="0.2">
      <c r="B92" s="147">
        <v>36951</v>
      </c>
      <c r="C92" s="103" t="s">
        <v>8</v>
      </c>
      <c r="D92" s="152">
        <v>151</v>
      </c>
    </row>
    <row r="93" spans="2:4" x14ac:dyDescent="0.2">
      <c r="B93" s="147">
        <v>36982</v>
      </c>
      <c r="C93" s="103" t="s">
        <v>8</v>
      </c>
      <c r="D93" s="152">
        <v>180</v>
      </c>
    </row>
    <row r="94" spans="2:4" x14ac:dyDescent="0.2">
      <c r="B94" s="147">
        <v>37012</v>
      </c>
      <c r="C94" s="103" t="s">
        <v>8</v>
      </c>
      <c r="D94" s="152">
        <v>180</v>
      </c>
    </row>
    <row r="95" spans="2:4" x14ac:dyDescent="0.2">
      <c r="B95" s="147">
        <v>37043</v>
      </c>
      <c r="C95" s="103" t="s">
        <v>8</v>
      </c>
      <c r="D95" s="152">
        <v>180</v>
      </c>
    </row>
    <row r="96" spans="2:4" x14ac:dyDescent="0.2">
      <c r="B96" s="147">
        <v>37073</v>
      </c>
      <c r="C96" s="103" t="s">
        <v>8</v>
      </c>
      <c r="D96" s="152">
        <v>180</v>
      </c>
    </row>
    <row r="97" spans="2:4" x14ac:dyDescent="0.2">
      <c r="B97" s="147">
        <v>37104</v>
      </c>
      <c r="C97" s="103" t="s">
        <v>8</v>
      </c>
      <c r="D97" s="152">
        <v>180</v>
      </c>
    </row>
    <row r="98" spans="2:4" x14ac:dyDescent="0.2">
      <c r="B98" s="147">
        <v>37135</v>
      </c>
      <c r="C98" s="103" t="s">
        <v>8</v>
      </c>
      <c r="D98" s="152">
        <v>180</v>
      </c>
    </row>
    <row r="99" spans="2:4" x14ac:dyDescent="0.2">
      <c r="B99" s="147">
        <v>37165</v>
      </c>
      <c r="C99" s="103" t="s">
        <v>8</v>
      </c>
      <c r="D99" s="152">
        <v>180</v>
      </c>
    </row>
    <row r="100" spans="2:4" x14ac:dyDescent="0.2">
      <c r="B100" s="147">
        <v>37196</v>
      </c>
      <c r="C100" s="103" t="s">
        <v>8</v>
      </c>
      <c r="D100" s="152">
        <v>180</v>
      </c>
    </row>
    <row r="101" spans="2:4" x14ac:dyDescent="0.2">
      <c r="B101" s="148">
        <v>37226</v>
      </c>
      <c r="C101" s="104" t="s">
        <v>8</v>
      </c>
      <c r="D101" s="153">
        <v>180</v>
      </c>
    </row>
    <row r="102" spans="2:4" x14ac:dyDescent="0.2">
      <c r="B102" s="149">
        <v>37257</v>
      </c>
      <c r="C102" s="106" t="s">
        <v>8</v>
      </c>
      <c r="D102" s="154">
        <v>180</v>
      </c>
    </row>
    <row r="103" spans="2:4" x14ac:dyDescent="0.2">
      <c r="B103" s="147">
        <v>37288</v>
      </c>
      <c r="C103" s="103" t="s">
        <v>8</v>
      </c>
      <c r="D103" s="152">
        <v>180</v>
      </c>
    </row>
    <row r="104" spans="2:4" x14ac:dyDescent="0.2">
      <c r="B104" s="147">
        <v>37316</v>
      </c>
      <c r="C104" s="103" t="s">
        <v>8</v>
      </c>
      <c r="D104" s="152">
        <v>180</v>
      </c>
    </row>
    <row r="105" spans="2:4" x14ac:dyDescent="0.2">
      <c r="B105" s="147">
        <v>37347</v>
      </c>
      <c r="C105" s="103" t="s">
        <v>8</v>
      </c>
      <c r="D105" s="152">
        <v>200</v>
      </c>
    </row>
    <row r="106" spans="2:4" x14ac:dyDescent="0.2">
      <c r="B106" s="147">
        <v>37377</v>
      </c>
      <c r="C106" s="103" t="s">
        <v>8</v>
      </c>
      <c r="D106" s="152">
        <v>200</v>
      </c>
    </row>
    <row r="107" spans="2:4" x14ac:dyDescent="0.2">
      <c r="B107" s="147">
        <v>37408</v>
      </c>
      <c r="C107" s="103" t="s">
        <v>8</v>
      </c>
      <c r="D107" s="152">
        <v>200</v>
      </c>
    </row>
    <row r="108" spans="2:4" x14ac:dyDescent="0.2">
      <c r="B108" s="147">
        <v>37438</v>
      </c>
      <c r="C108" s="103" t="s">
        <v>8</v>
      </c>
      <c r="D108" s="152">
        <v>200</v>
      </c>
    </row>
    <row r="109" spans="2:4" x14ac:dyDescent="0.2">
      <c r="B109" s="147">
        <v>37469</v>
      </c>
      <c r="C109" s="103" t="s">
        <v>8</v>
      </c>
      <c r="D109" s="152">
        <v>200</v>
      </c>
    </row>
    <row r="110" spans="2:4" x14ac:dyDescent="0.2">
      <c r="B110" s="147">
        <v>37500</v>
      </c>
      <c r="C110" s="103" t="s">
        <v>8</v>
      </c>
      <c r="D110" s="152">
        <v>200</v>
      </c>
    </row>
    <row r="111" spans="2:4" x14ac:dyDescent="0.2">
      <c r="B111" s="147">
        <v>37530</v>
      </c>
      <c r="C111" s="103" t="s">
        <v>8</v>
      </c>
      <c r="D111" s="152">
        <v>200</v>
      </c>
    </row>
    <row r="112" spans="2:4" x14ac:dyDescent="0.2">
      <c r="B112" s="147">
        <v>37561</v>
      </c>
      <c r="C112" s="103" t="s">
        <v>8</v>
      </c>
      <c r="D112" s="152">
        <v>200</v>
      </c>
    </row>
    <row r="113" spans="2:4" x14ac:dyDescent="0.2">
      <c r="B113" s="148">
        <v>37591</v>
      </c>
      <c r="C113" s="104" t="s">
        <v>8</v>
      </c>
      <c r="D113" s="153">
        <v>200</v>
      </c>
    </row>
    <row r="114" spans="2:4" x14ac:dyDescent="0.2">
      <c r="B114" s="149">
        <v>37622</v>
      </c>
      <c r="C114" s="106" t="s">
        <v>8</v>
      </c>
      <c r="D114" s="154">
        <v>200</v>
      </c>
    </row>
    <row r="115" spans="2:4" x14ac:dyDescent="0.2">
      <c r="B115" s="147">
        <v>37653</v>
      </c>
      <c r="C115" s="103" t="s">
        <v>8</v>
      </c>
      <c r="D115" s="152">
        <v>200</v>
      </c>
    </row>
    <row r="116" spans="2:4" x14ac:dyDescent="0.2">
      <c r="B116" s="147">
        <v>37681</v>
      </c>
      <c r="C116" s="103" t="s">
        <v>8</v>
      </c>
      <c r="D116" s="152">
        <v>200</v>
      </c>
    </row>
    <row r="117" spans="2:4" x14ac:dyDescent="0.2">
      <c r="B117" s="147">
        <v>37712</v>
      </c>
      <c r="C117" s="103" t="s">
        <v>8</v>
      </c>
      <c r="D117" s="152">
        <v>240</v>
      </c>
    </row>
    <row r="118" spans="2:4" x14ac:dyDescent="0.2">
      <c r="B118" s="147">
        <v>37742</v>
      </c>
      <c r="C118" s="103" t="s">
        <v>8</v>
      </c>
      <c r="D118" s="152">
        <v>240</v>
      </c>
    </row>
    <row r="119" spans="2:4" x14ac:dyDescent="0.2">
      <c r="B119" s="147">
        <v>37773</v>
      </c>
      <c r="C119" s="103" t="s">
        <v>8</v>
      </c>
      <c r="D119" s="152">
        <v>240</v>
      </c>
    </row>
    <row r="120" spans="2:4" x14ac:dyDescent="0.2">
      <c r="B120" s="147">
        <v>37803</v>
      </c>
      <c r="C120" s="103" t="s">
        <v>8</v>
      </c>
      <c r="D120" s="152">
        <v>240</v>
      </c>
    </row>
    <row r="121" spans="2:4" x14ac:dyDescent="0.2">
      <c r="B121" s="147">
        <v>37834</v>
      </c>
      <c r="C121" s="103" t="s">
        <v>8</v>
      </c>
      <c r="D121" s="152">
        <v>240</v>
      </c>
    </row>
    <row r="122" spans="2:4" x14ac:dyDescent="0.2">
      <c r="B122" s="147">
        <v>37865</v>
      </c>
      <c r="C122" s="103" t="s">
        <v>8</v>
      </c>
      <c r="D122" s="152">
        <v>240</v>
      </c>
    </row>
    <row r="123" spans="2:4" x14ac:dyDescent="0.2">
      <c r="B123" s="147">
        <v>37895</v>
      </c>
      <c r="C123" s="103" t="s">
        <v>8</v>
      </c>
      <c r="D123" s="152">
        <v>240</v>
      </c>
    </row>
    <row r="124" spans="2:4" x14ac:dyDescent="0.2">
      <c r="B124" s="147">
        <v>37926</v>
      </c>
      <c r="C124" s="103" t="s">
        <v>8</v>
      </c>
      <c r="D124" s="152">
        <v>240</v>
      </c>
    </row>
    <row r="125" spans="2:4" x14ac:dyDescent="0.2">
      <c r="B125" s="148">
        <v>37956</v>
      </c>
      <c r="C125" s="104" t="s">
        <v>8</v>
      </c>
      <c r="D125" s="153">
        <v>240</v>
      </c>
    </row>
    <row r="126" spans="2:4" x14ac:dyDescent="0.2">
      <c r="B126" s="149">
        <v>37987</v>
      </c>
      <c r="C126" s="106" t="s">
        <v>8</v>
      </c>
      <c r="D126" s="154">
        <v>240</v>
      </c>
    </row>
    <row r="127" spans="2:4" x14ac:dyDescent="0.2">
      <c r="B127" s="147">
        <v>38018</v>
      </c>
      <c r="C127" s="103" t="s">
        <v>8</v>
      </c>
      <c r="D127" s="152">
        <v>240</v>
      </c>
    </row>
    <row r="128" spans="2:4" x14ac:dyDescent="0.2">
      <c r="B128" s="147">
        <v>38047</v>
      </c>
      <c r="C128" s="103" t="s">
        <v>8</v>
      </c>
      <c r="D128" s="152">
        <v>240</v>
      </c>
    </row>
    <row r="129" spans="2:4" x14ac:dyDescent="0.2">
      <c r="B129" s="147">
        <v>38078</v>
      </c>
      <c r="C129" s="103" t="s">
        <v>8</v>
      </c>
      <c r="D129" s="152">
        <v>240</v>
      </c>
    </row>
    <row r="130" spans="2:4" x14ac:dyDescent="0.2">
      <c r="B130" s="147">
        <v>38108</v>
      </c>
      <c r="C130" s="103" t="s">
        <v>8</v>
      </c>
      <c r="D130" s="152">
        <v>260</v>
      </c>
    </row>
    <row r="131" spans="2:4" x14ac:dyDescent="0.2">
      <c r="B131" s="147">
        <v>38139</v>
      </c>
      <c r="C131" s="103" t="s">
        <v>8</v>
      </c>
      <c r="D131" s="152">
        <v>260</v>
      </c>
    </row>
    <row r="132" spans="2:4" x14ac:dyDescent="0.2">
      <c r="B132" s="147">
        <v>38169</v>
      </c>
      <c r="C132" s="103" t="s">
        <v>8</v>
      </c>
      <c r="D132" s="152">
        <v>260</v>
      </c>
    </row>
    <row r="133" spans="2:4" x14ac:dyDescent="0.2">
      <c r="B133" s="147">
        <v>38200</v>
      </c>
      <c r="C133" s="103" t="s">
        <v>8</v>
      </c>
      <c r="D133" s="152">
        <v>260</v>
      </c>
    </row>
    <row r="134" spans="2:4" x14ac:dyDescent="0.2">
      <c r="B134" s="147">
        <v>38231</v>
      </c>
      <c r="C134" s="103" t="s">
        <v>8</v>
      </c>
      <c r="D134" s="152">
        <v>260</v>
      </c>
    </row>
    <row r="135" spans="2:4" x14ac:dyDescent="0.2">
      <c r="B135" s="147">
        <v>38261</v>
      </c>
      <c r="C135" s="103" t="s">
        <v>8</v>
      </c>
      <c r="D135" s="152">
        <v>260</v>
      </c>
    </row>
    <row r="136" spans="2:4" x14ac:dyDescent="0.2">
      <c r="B136" s="147">
        <v>38292</v>
      </c>
      <c r="C136" s="103" t="s">
        <v>8</v>
      </c>
      <c r="D136" s="152">
        <v>260</v>
      </c>
    </row>
    <row r="137" spans="2:4" x14ac:dyDescent="0.2">
      <c r="B137" s="148">
        <v>38322</v>
      </c>
      <c r="C137" s="104" t="s">
        <v>8</v>
      </c>
      <c r="D137" s="153">
        <v>260</v>
      </c>
    </row>
    <row r="138" spans="2:4" x14ac:dyDescent="0.2">
      <c r="B138" s="149">
        <v>38353</v>
      </c>
      <c r="C138" s="106" t="s">
        <v>8</v>
      </c>
      <c r="D138" s="154">
        <v>260</v>
      </c>
    </row>
    <row r="139" spans="2:4" x14ac:dyDescent="0.2">
      <c r="B139" s="147">
        <v>38384</v>
      </c>
      <c r="C139" s="103" t="s">
        <v>8</v>
      </c>
      <c r="D139" s="152">
        <v>260</v>
      </c>
    </row>
    <row r="140" spans="2:4" x14ac:dyDescent="0.2">
      <c r="B140" s="147">
        <v>38412</v>
      </c>
      <c r="C140" s="103" t="s">
        <v>8</v>
      </c>
      <c r="D140" s="152">
        <v>260</v>
      </c>
    </row>
    <row r="141" spans="2:4" x14ac:dyDescent="0.2">
      <c r="B141" s="147">
        <v>38443</v>
      </c>
      <c r="C141" s="103" t="s">
        <v>8</v>
      </c>
      <c r="D141" s="152">
        <v>260</v>
      </c>
    </row>
    <row r="142" spans="2:4" x14ac:dyDescent="0.2">
      <c r="B142" s="147">
        <v>38473</v>
      </c>
      <c r="C142" s="103" t="s">
        <v>8</v>
      </c>
      <c r="D142" s="152">
        <v>300</v>
      </c>
    </row>
    <row r="143" spans="2:4" x14ac:dyDescent="0.2">
      <c r="B143" s="147">
        <v>38504</v>
      </c>
      <c r="C143" s="103" t="s">
        <v>8</v>
      </c>
      <c r="D143" s="152">
        <v>300</v>
      </c>
    </row>
    <row r="144" spans="2:4" x14ac:dyDescent="0.2">
      <c r="B144" s="147">
        <v>38534</v>
      </c>
      <c r="C144" s="103" t="s">
        <v>8</v>
      </c>
      <c r="D144" s="152">
        <v>300</v>
      </c>
    </row>
    <row r="145" spans="2:4" x14ac:dyDescent="0.2">
      <c r="B145" s="147">
        <v>38565</v>
      </c>
      <c r="C145" s="103" t="s">
        <v>8</v>
      </c>
      <c r="D145" s="152">
        <v>300</v>
      </c>
    </row>
    <row r="146" spans="2:4" x14ac:dyDescent="0.2">
      <c r="B146" s="147">
        <v>38596</v>
      </c>
      <c r="C146" s="103" t="s">
        <v>8</v>
      </c>
      <c r="D146" s="152">
        <v>300</v>
      </c>
    </row>
    <row r="147" spans="2:4" x14ac:dyDescent="0.2">
      <c r="B147" s="147">
        <v>38626</v>
      </c>
      <c r="C147" s="103" t="s">
        <v>8</v>
      </c>
      <c r="D147" s="152">
        <v>300</v>
      </c>
    </row>
    <row r="148" spans="2:4" x14ac:dyDescent="0.2">
      <c r="B148" s="147">
        <v>38657</v>
      </c>
      <c r="C148" s="103" t="s">
        <v>8</v>
      </c>
      <c r="D148" s="152">
        <v>300</v>
      </c>
    </row>
    <row r="149" spans="2:4" x14ac:dyDescent="0.2">
      <c r="B149" s="148">
        <v>38687</v>
      </c>
      <c r="C149" s="104" t="s">
        <v>8</v>
      </c>
      <c r="D149" s="153">
        <v>300</v>
      </c>
    </row>
    <row r="150" spans="2:4" x14ac:dyDescent="0.2">
      <c r="B150" s="149">
        <v>38718</v>
      </c>
      <c r="C150" s="106" t="s">
        <v>8</v>
      </c>
      <c r="D150" s="154">
        <v>300</v>
      </c>
    </row>
    <row r="151" spans="2:4" x14ac:dyDescent="0.2">
      <c r="B151" s="147">
        <v>38749</v>
      </c>
      <c r="C151" s="103" t="s">
        <v>8</v>
      </c>
      <c r="D151" s="152">
        <v>300</v>
      </c>
    </row>
    <row r="152" spans="2:4" x14ac:dyDescent="0.2">
      <c r="B152" s="147">
        <v>38777</v>
      </c>
      <c r="C152" s="103" t="s">
        <v>8</v>
      </c>
      <c r="D152" s="152">
        <v>300</v>
      </c>
    </row>
    <row r="153" spans="2:4" x14ac:dyDescent="0.2">
      <c r="B153" s="147">
        <v>38808</v>
      </c>
      <c r="C153" s="103" t="s">
        <v>8</v>
      </c>
      <c r="D153" s="152">
        <v>350</v>
      </c>
    </row>
    <row r="154" spans="2:4" x14ac:dyDescent="0.2">
      <c r="B154" s="147">
        <v>38838</v>
      </c>
      <c r="C154" s="103" t="s">
        <v>8</v>
      </c>
      <c r="D154" s="152">
        <v>350</v>
      </c>
    </row>
    <row r="155" spans="2:4" x14ac:dyDescent="0.2">
      <c r="B155" s="147">
        <v>38869</v>
      </c>
      <c r="C155" s="103" t="s">
        <v>8</v>
      </c>
      <c r="D155" s="152">
        <v>350</v>
      </c>
    </row>
    <row r="156" spans="2:4" x14ac:dyDescent="0.2">
      <c r="B156" s="147">
        <v>38899</v>
      </c>
      <c r="C156" s="103" t="s">
        <v>8</v>
      </c>
      <c r="D156" s="152">
        <v>350</v>
      </c>
    </row>
    <row r="157" spans="2:4" x14ac:dyDescent="0.2">
      <c r="B157" s="147">
        <v>38930</v>
      </c>
      <c r="C157" s="103" t="s">
        <v>8</v>
      </c>
      <c r="D157" s="152">
        <v>350</v>
      </c>
    </row>
    <row r="158" spans="2:4" x14ac:dyDescent="0.2">
      <c r="B158" s="147">
        <v>38961</v>
      </c>
      <c r="C158" s="103" t="s">
        <v>8</v>
      </c>
      <c r="D158" s="152">
        <v>350</v>
      </c>
    </row>
    <row r="159" spans="2:4" x14ac:dyDescent="0.2">
      <c r="B159" s="147">
        <v>38991</v>
      </c>
      <c r="C159" s="103" t="s">
        <v>8</v>
      </c>
      <c r="D159" s="152">
        <v>350</v>
      </c>
    </row>
    <row r="160" spans="2:4" x14ac:dyDescent="0.2">
      <c r="B160" s="147">
        <v>39022</v>
      </c>
      <c r="C160" s="103" t="s">
        <v>8</v>
      </c>
      <c r="D160" s="152">
        <v>350</v>
      </c>
    </row>
    <row r="161" spans="2:4" x14ac:dyDescent="0.2">
      <c r="B161" s="148">
        <v>39052</v>
      </c>
      <c r="C161" s="104" t="s">
        <v>8</v>
      </c>
      <c r="D161" s="153">
        <v>350</v>
      </c>
    </row>
    <row r="162" spans="2:4" x14ac:dyDescent="0.2">
      <c r="B162" s="149">
        <v>39083</v>
      </c>
      <c r="C162" s="106" t="s">
        <v>8</v>
      </c>
      <c r="D162" s="154">
        <v>350</v>
      </c>
    </row>
    <row r="163" spans="2:4" x14ac:dyDescent="0.2">
      <c r="B163" s="147">
        <v>39114</v>
      </c>
      <c r="C163" s="103" t="s">
        <v>8</v>
      </c>
      <c r="D163" s="152">
        <v>350</v>
      </c>
    </row>
    <row r="164" spans="2:4" x14ac:dyDescent="0.2">
      <c r="B164" s="147">
        <v>39142</v>
      </c>
      <c r="C164" s="103" t="s">
        <v>8</v>
      </c>
      <c r="D164" s="152">
        <v>350</v>
      </c>
    </row>
    <row r="165" spans="2:4" x14ac:dyDescent="0.2">
      <c r="B165" s="147">
        <v>39173</v>
      </c>
      <c r="C165" s="103" t="s">
        <v>8</v>
      </c>
      <c r="D165" s="152">
        <v>380</v>
      </c>
    </row>
    <row r="166" spans="2:4" x14ac:dyDescent="0.2">
      <c r="B166" s="147">
        <v>39203</v>
      </c>
      <c r="C166" s="103" t="s">
        <v>8</v>
      </c>
      <c r="D166" s="152">
        <v>380</v>
      </c>
    </row>
    <row r="167" spans="2:4" x14ac:dyDescent="0.2">
      <c r="B167" s="147">
        <v>39234</v>
      </c>
      <c r="C167" s="103" t="s">
        <v>8</v>
      </c>
      <c r="D167" s="152">
        <v>380</v>
      </c>
    </row>
    <row r="168" spans="2:4" x14ac:dyDescent="0.2">
      <c r="B168" s="147">
        <v>39264</v>
      </c>
      <c r="C168" s="103" t="s">
        <v>8</v>
      </c>
      <c r="D168" s="152">
        <v>380</v>
      </c>
    </row>
    <row r="169" spans="2:4" x14ac:dyDescent="0.2">
      <c r="B169" s="147">
        <v>39295</v>
      </c>
      <c r="C169" s="103" t="s">
        <v>8</v>
      </c>
      <c r="D169" s="152">
        <v>380</v>
      </c>
    </row>
    <row r="170" spans="2:4" x14ac:dyDescent="0.2">
      <c r="B170" s="147">
        <v>39326</v>
      </c>
      <c r="C170" s="103" t="s">
        <v>8</v>
      </c>
      <c r="D170" s="152">
        <v>380</v>
      </c>
    </row>
    <row r="171" spans="2:4" x14ac:dyDescent="0.2">
      <c r="B171" s="147">
        <v>39356</v>
      </c>
      <c r="C171" s="103" t="s">
        <v>8</v>
      </c>
      <c r="D171" s="152">
        <v>380</v>
      </c>
    </row>
    <row r="172" spans="2:4" x14ac:dyDescent="0.2">
      <c r="B172" s="147">
        <v>39387</v>
      </c>
      <c r="C172" s="103" t="s">
        <v>8</v>
      </c>
      <c r="D172" s="152">
        <v>380</v>
      </c>
    </row>
    <row r="173" spans="2:4" x14ac:dyDescent="0.2">
      <c r="B173" s="148">
        <v>39417</v>
      </c>
      <c r="C173" s="104" t="s">
        <v>8</v>
      </c>
      <c r="D173" s="153">
        <v>380</v>
      </c>
    </row>
    <row r="174" spans="2:4" x14ac:dyDescent="0.2">
      <c r="B174" s="149">
        <v>39448</v>
      </c>
      <c r="C174" s="106" t="s">
        <v>8</v>
      </c>
      <c r="D174" s="154">
        <v>380</v>
      </c>
    </row>
    <row r="175" spans="2:4" x14ac:dyDescent="0.2">
      <c r="B175" s="147">
        <v>39479</v>
      </c>
      <c r="C175" s="103" t="s">
        <v>8</v>
      </c>
      <c r="D175" s="152">
        <v>380</v>
      </c>
    </row>
    <row r="176" spans="2:4" x14ac:dyDescent="0.2">
      <c r="B176" s="147">
        <v>39508</v>
      </c>
      <c r="C176" s="103" t="s">
        <v>8</v>
      </c>
      <c r="D176" s="152">
        <v>415</v>
      </c>
    </row>
    <row r="177" spans="2:4" x14ac:dyDescent="0.2">
      <c r="B177" s="147">
        <v>39539</v>
      </c>
      <c r="C177" s="103" t="s">
        <v>8</v>
      </c>
      <c r="D177" s="152">
        <v>415</v>
      </c>
    </row>
    <row r="178" spans="2:4" x14ac:dyDescent="0.2">
      <c r="B178" s="147">
        <v>39569</v>
      </c>
      <c r="C178" s="103" t="s">
        <v>8</v>
      </c>
      <c r="D178" s="152">
        <v>415</v>
      </c>
    </row>
    <row r="179" spans="2:4" x14ac:dyDescent="0.2">
      <c r="B179" s="147">
        <v>39600</v>
      </c>
      <c r="C179" s="103" t="s">
        <v>8</v>
      </c>
      <c r="D179" s="152">
        <v>415</v>
      </c>
    </row>
    <row r="180" spans="2:4" x14ac:dyDescent="0.2">
      <c r="B180" s="147">
        <v>39630</v>
      </c>
      <c r="C180" s="103" t="s">
        <v>8</v>
      </c>
      <c r="D180" s="152">
        <v>415</v>
      </c>
    </row>
    <row r="181" spans="2:4" x14ac:dyDescent="0.2">
      <c r="B181" s="147">
        <v>39661</v>
      </c>
      <c r="C181" s="103" t="s">
        <v>8</v>
      </c>
      <c r="D181" s="152">
        <v>415</v>
      </c>
    </row>
    <row r="182" spans="2:4" x14ac:dyDescent="0.2">
      <c r="B182" s="147">
        <v>39692</v>
      </c>
      <c r="C182" s="103" t="s">
        <v>8</v>
      </c>
      <c r="D182" s="152">
        <v>415</v>
      </c>
    </row>
    <row r="183" spans="2:4" x14ac:dyDescent="0.2">
      <c r="B183" s="147">
        <v>39722</v>
      </c>
      <c r="C183" s="103" t="s">
        <v>8</v>
      </c>
      <c r="D183" s="152">
        <v>415</v>
      </c>
    </row>
    <row r="184" spans="2:4" x14ac:dyDescent="0.2">
      <c r="B184" s="147">
        <v>39753</v>
      </c>
      <c r="C184" s="103" t="s">
        <v>8</v>
      </c>
      <c r="D184" s="152">
        <v>415</v>
      </c>
    </row>
    <row r="185" spans="2:4" x14ac:dyDescent="0.2">
      <c r="B185" s="148">
        <v>39783</v>
      </c>
      <c r="C185" s="104" t="s">
        <v>8</v>
      </c>
      <c r="D185" s="153">
        <v>415</v>
      </c>
    </row>
    <row r="186" spans="2:4" x14ac:dyDescent="0.2">
      <c r="B186" s="149">
        <v>39814</v>
      </c>
      <c r="C186" s="106" t="s">
        <v>8</v>
      </c>
      <c r="D186" s="154">
        <v>415</v>
      </c>
    </row>
    <row r="187" spans="2:4" x14ac:dyDescent="0.2">
      <c r="B187" s="147">
        <v>39845</v>
      </c>
      <c r="C187" s="103" t="s">
        <v>8</v>
      </c>
      <c r="D187" s="152">
        <v>465</v>
      </c>
    </row>
    <row r="188" spans="2:4" x14ac:dyDescent="0.2">
      <c r="B188" s="147">
        <v>39873</v>
      </c>
      <c r="C188" s="103" t="s">
        <v>8</v>
      </c>
      <c r="D188" s="152">
        <v>465</v>
      </c>
    </row>
    <row r="189" spans="2:4" x14ac:dyDescent="0.2">
      <c r="B189" s="147">
        <v>39904</v>
      </c>
      <c r="C189" s="103" t="s">
        <v>8</v>
      </c>
      <c r="D189" s="152">
        <v>465</v>
      </c>
    </row>
    <row r="190" spans="2:4" x14ac:dyDescent="0.2">
      <c r="B190" s="147">
        <v>39934</v>
      </c>
      <c r="C190" s="103" t="s">
        <v>8</v>
      </c>
      <c r="D190" s="152">
        <v>465</v>
      </c>
    </row>
    <row r="191" spans="2:4" x14ac:dyDescent="0.2">
      <c r="B191" s="147">
        <v>39965</v>
      </c>
      <c r="C191" s="103" t="s">
        <v>8</v>
      </c>
      <c r="D191" s="152">
        <v>465</v>
      </c>
    </row>
    <row r="192" spans="2:4" x14ac:dyDescent="0.2">
      <c r="B192" s="147">
        <v>39995</v>
      </c>
      <c r="C192" s="103" t="s">
        <v>8</v>
      </c>
      <c r="D192" s="152">
        <v>465</v>
      </c>
    </row>
    <row r="193" spans="2:4" x14ac:dyDescent="0.2">
      <c r="B193" s="147">
        <v>40026</v>
      </c>
      <c r="C193" s="103" t="s">
        <v>8</v>
      </c>
      <c r="D193" s="152">
        <v>465</v>
      </c>
    </row>
    <row r="194" spans="2:4" x14ac:dyDescent="0.2">
      <c r="B194" s="147">
        <v>40057</v>
      </c>
      <c r="C194" s="103" t="s">
        <v>8</v>
      </c>
      <c r="D194" s="152">
        <v>465</v>
      </c>
    </row>
    <row r="195" spans="2:4" x14ac:dyDescent="0.2">
      <c r="B195" s="147">
        <v>40087</v>
      </c>
      <c r="C195" s="103" t="s">
        <v>8</v>
      </c>
      <c r="D195" s="152">
        <v>465</v>
      </c>
    </row>
    <row r="196" spans="2:4" x14ac:dyDescent="0.2">
      <c r="B196" s="147">
        <v>40118</v>
      </c>
      <c r="C196" s="103" t="s">
        <v>8</v>
      </c>
      <c r="D196" s="152">
        <v>465</v>
      </c>
    </row>
    <row r="197" spans="2:4" x14ac:dyDescent="0.2">
      <c r="B197" s="148">
        <v>40148</v>
      </c>
      <c r="C197" s="104" t="s">
        <v>8</v>
      </c>
      <c r="D197" s="153">
        <v>465</v>
      </c>
    </row>
    <row r="198" spans="2:4" x14ac:dyDescent="0.2">
      <c r="B198" s="149">
        <v>40179</v>
      </c>
      <c r="C198" s="106" t="s">
        <v>8</v>
      </c>
      <c r="D198" s="154">
        <v>510</v>
      </c>
    </row>
    <row r="199" spans="2:4" x14ac:dyDescent="0.2">
      <c r="B199" s="147">
        <v>40210</v>
      </c>
      <c r="C199" s="103" t="s">
        <v>8</v>
      </c>
      <c r="D199" s="152">
        <v>510</v>
      </c>
    </row>
    <row r="200" spans="2:4" x14ac:dyDescent="0.2">
      <c r="B200" s="147">
        <v>40238</v>
      </c>
      <c r="C200" s="103" t="s">
        <v>8</v>
      </c>
      <c r="D200" s="152">
        <v>510</v>
      </c>
    </row>
    <row r="201" spans="2:4" x14ac:dyDescent="0.2">
      <c r="B201" s="147">
        <v>40269</v>
      </c>
      <c r="C201" s="103" t="s">
        <v>8</v>
      </c>
      <c r="D201" s="152">
        <v>510</v>
      </c>
    </row>
    <row r="202" spans="2:4" x14ac:dyDescent="0.2">
      <c r="B202" s="147">
        <v>40299</v>
      </c>
      <c r="C202" s="103" t="s">
        <v>8</v>
      </c>
      <c r="D202" s="152">
        <v>510</v>
      </c>
    </row>
    <row r="203" spans="2:4" x14ac:dyDescent="0.2">
      <c r="B203" s="147">
        <v>40330</v>
      </c>
      <c r="C203" s="103" t="s">
        <v>8</v>
      </c>
      <c r="D203" s="152">
        <v>510</v>
      </c>
    </row>
    <row r="204" spans="2:4" x14ac:dyDescent="0.2">
      <c r="B204" s="147">
        <v>40360</v>
      </c>
      <c r="C204" s="103" t="s">
        <v>8</v>
      </c>
      <c r="D204" s="152">
        <v>510</v>
      </c>
    </row>
    <row r="205" spans="2:4" x14ac:dyDescent="0.2">
      <c r="B205" s="147">
        <v>40391</v>
      </c>
      <c r="C205" s="103" t="s">
        <v>8</v>
      </c>
      <c r="D205" s="152">
        <v>510</v>
      </c>
    </row>
    <row r="206" spans="2:4" x14ac:dyDescent="0.2">
      <c r="B206" s="147">
        <v>40422</v>
      </c>
      <c r="C206" s="103" t="s">
        <v>8</v>
      </c>
      <c r="D206" s="152">
        <v>510</v>
      </c>
    </row>
    <row r="207" spans="2:4" x14ac:dyDescent="0.2">
      <c r="B207" s="147">
        <v>40452</v>
      </c>
      <c r="C207" s="103" t="s">
        <v>8</v>
      </c>
      <c r="D207" s="152">
        <v>510</v>
      </c>
    </row>
    <row r="208" spans="2:4" x14ac:dyDescent="0.2">
      <c r="B208" s="147">
        <v>40483</v>
      </c>
      <c r="C208" s="103" t="s">
        <v>8</v>
      </c>
      <c r="D208" s="152">
        <v>510</v>
      </c>
    </row>
    <row r="209" spans="2:4" x14ac:dyDescent="0.2">
      <c r="B209" s="148">
        <v>40513</v>
      </c>
      <c r="C209" s="104" t="s">
        <v>8</v>
      </c>
      <c r="D209" s="153">
        <v>510</v>
      </c>
    </row>
    <row r="210" spans="2:4" x14ac:dyDescent="0.2">
      <c r="B210" s="149">
        <v>40544</v>
      </c>
      <c r="C210" s="106" t="s">
        <v>8</v>
      </c>
      <c r="D210" s="154">
        <v>540</v>
      </c>
    </row>
    <row r="211" spans="2:4" x14ac:dyDescent="0.2">
      <c r="B211" s="147">
        <v>40575</v>
      </c>
      <c r="C211" s="103" t="s">
        <v>8</v>
      </c>
      <c r="D211" s="152">
        <v>540</v>
      </c>
    </row>
    <row r="212" spans="2:4" x14ac:dyDescent="0.2">
      <c r="B212" s="147">
        <v>40603</v>
      </c>
      <c r="C212" s="103" t="s">
        <v>8</v>
      </c>
      <c r="D212" s="152">
        <v>545</v>
      </c>
    </row>
    <row r="213" spans="2:4" x14ac:dyDescent="0.2">
      <c r="B213" s="147">
        <v>40634</v>
      </c>
      <c r="C213" s="103" t="s">
        <v>8</v>
      </c>
      <c r="D213" s="152">
        <v>545</v>
      </c>
    </row>
    <row r="214" spans="2:4" x14ac:dyDescent="0.2">
      <c r="B214" s="147">
        <v>40664</v>
      </c>
      <c r="C214" s="103" t="s">
        <v>8</v>
      </c>
      <c r="D214" s="152">
        <v>545</v>
      </c>
    </row>
    <row r="215" spans="2:4" x14ac:dyDescent="0.2">
      <c r="B215" s="147">
        <v>40695</v>
      </c>
      <c r="C215" s="103" t="s">
        <v>8</v>
      </c>
      <c r="D215" s="152">
        <v>545</v>
      </c>
    </row>
    <row r="216" spans="2:4" x14ac:dyDescent="0.2">
      <c r="B216" s="147">
        <v>40725</v>
      </c>
      <c r="C216" s="103" t="s">
        <v>8</v>
      </c>
      <c r="D216" s="152">
        <v>545</v>
      </c>
    </row>
    <row r="217" spans="2:4" x14ac:dyDescent="0.2">
      <c r="B217" s="147">
        <v>40756</v>
      </c>
      <c r="C217" s="103" t="s">
        <v>8</v>
      </c>
      <c r="D217" s="152">
        <v>545</v>
      </c>
    </row>
    <row r="218" spans="2:4" x14ac:dyDescent="0.2">
      <c r="B218" s="147">
        <v>40787</v>
      </c>
      <c r="C218" s="103" t="s">
        <v>8</v>
      </c>
      <c r="D218" s="152">
        <v>545</v>
      </c>
    </row>
    <row r="219" spans="2:4" x14ac:dyDescent="0.2">
      <c r="B219" s="147">
        <v>40817</v>
      </c>
      <c r="C219" s="103" t="s">
        <v>8</v>
      </c>
      <c r="D219" s="152">
        <v>545</v>
      </c>
    </row>
    <row r="220" spans="2:4" x14ac:dyDescent="0.2">
      <c r="B220" s="147">
        <v>40848</v>
      </c>
      <c r="C220" s="103" t="s">
        <v>8</v>
      </c>
      <c r="D220" s="152">
        <v>545</v>
      </c>
    </row>
    <row r="221" spans="2:4" x14ac:dyDescent="0.2">
      <c r="B221" s="148">
        <v>40878</v>
      </c>
      <c r="C221" s="104" t="s">
        <v>8</v>
      </c>
      <c r="D221" s="153">
        <v>545</v>
      </c>
    </row>
    <row r="222" spans="2:4" x14ac:dyDescent="0.2">
      <c r="B222" s="149">
        <v>40909</v>
      </c>
      <c r="C222" s="106" t="s">
        <v>8</v>
      </c>
      <c r="D222" s="154">
        <v>622</v>
      </c>
    </row>
    <row r="223" spans="2:4" x14ac:dyDescent="0.2">
      <c r="B223" s="147">
        <v>40940</v>
      </c>
      <c r="C223" s="103" t="s">
        <v>8</v>
      </c>
      <c r="D223" s="152">
        <v>622</v>
      </c>
    </row>
    <row r="224" spans="2:4" x14ac:dyDescent="0.2">
      <c r="B224" s="147">
        <v>40969</v>
      </c>
      <c r="C224" s="103" t="s">
        <v>8</v>
      </c>
      <c r="D224" s="152">
        <v>622</v>
      </c>
    </row>
    <row r="225" spans="2:4" x14ac:dyDescent="0.2">
      <c r="B225" s="147">
        <v>41000</v>
      </c>
      <c r="C225" s="103" t="s">
        <v>8</v>
      </c>
      <c r="D225" s="152">
        <v>622</v>
      </c>
    </row>
    <row r="226" spans="2:4" x14ac:dyDescent="0.2">
      <c r="B226" s="147">
        <v>41030</v>
      </c>
      <c r="C226" s="103" t="s">
        <v>8</v>
      </c>
      <c r="D226" s="152">
        <v>622</v>
      </c>
    </row>
    <row r="227" spans="2:4" x14ac:dyDescent="0.2">
      <c r="B227" s="147">
        <v>41061</v>
      </c>
      <c r="C227" s="103" t="s">
        <v>8</v>
      </c>
      <c r="D227" s="152">
        <v>622</v>
      </c>
    </row>
    <row r="228" spans="2:4" x14ac:dyDescent="0.2">
      <c r="B228" s="147">
        <v>41091</v>
      </c>
      <c r="C228" s="103" t="s">
        <v>8</v>
      </c>
      <c r="D228" s="152">
        <v>622</v>
      </c>
    </row>
    <row r="229" spans="2:4" x14ac:dyDescent="0.2">
      <c r="B229" s="147">
        <v>41122</v>
      </c>
      <c r="C229" s="103" t="s">
        <v>8</v>
      </c>
      <c r="D229" s="152">
        <v>622</v>
      </c>
    </row>
    <row r="230" spans="2:4" x14ac:dyDescent="0.2">
      <c r="B230" s="147">
        <v>41153</v>
      </c>
      <c r="C230" s="103" t="s">
        <v>8</v>
      </c>
      <c r="D230" s="152">
        <v>622</v>
      </c>
    </row>
    <row r="231" spans="2:4" x14ac:dyDescent="0.2">
      <c r="B231" s="147">
        <v>41183</v>
      </c>
      <c r="C231" s="103" t="s">
        <v>8</v>
      </c>
      <c r="D231" s="152">
        <v>622</v>
      </c>
    </row>
    <row r="232" spans="2:4" x14ac:dyDescent="0.2">
      <c r="B232" s="147">
        <v>41214</v>
      </c>
      <c r="C232" s="103" t="s">
        <v>8</v>
      </c>
      <c r="D232" s="152">
        <v>622</v>
      </c>
    </row>
    <row r="233" spans="2:4" x14ac:dyDescent="0.2">
      <c r="B233" s="148">
        <v>41244</v>
      </c>
      <c r="C233" s="104" t="s">
        <v>8</v>
      </c>
      <c r="D233" s="153">
        <v>622</v>
      </c>
    </row>
    <row r="234" spans="2:4" x14ac:dyDescent="0.2">
      <c r="B234" s="149">
        <v>41275</v>
      </c>
      <c r="C234" s="106" t="s">
        <v>8</v>
      </c>
      <c r="D234" s="154">
        <v>678</v>
      </c>
    </row>
    <row r="235" spans="2:4" x14ac:dyDescent="0.2">
      <c r="B235" s="147">
        <v>41306</v>
      </c>
      <c r="C235" s="103" t="s">
        <v>8</v>
      </c>
      <c r="D235" s="152">
        <v>678</v>
      </c>
    </row>
    <row r="236" spans="2:4" x14ac:dyDescent="0.2">
      <c r="B236" s="147">
        <v>41334</v>
      </c>
      <c r="C236" s="103" t="s">
        <v>8</v>
      </c>
      <c r="D236" s="152">
        <v>678</v>
      </c>
    </row>
    <row r="237" spans="2:4" x14ac:dyDescent="0.2">
      <c r="B237" s="147">
        <v>41365</v>
      </c>
      <c r="C237" s="103" t="s">
        <v>8</v>
      </c>
      <c r="D237" s="152">
        <v>678</v>
      </c>
    </row>
    <row r="238" spans="2:4" x14ac:dyDescent="0.2">
      <c r="B238" s="147">
        <v>41395</v>
      </c>
      <c r="C238" s="103" t="s">
        <v>8</v>
      </c>
      <c r="D238" s="152">
        <v>678</v>
      </c>
    </row>
    <row r="239" spans="2:4" x14ac:dyDescent="0.2">
      <c r="B239" s="147">
        <v>41426</v>
      </c>
      <c r="C239" s="103" t="s">
        <v>8</v>
      </c>
      <c r="D239" s="152">
        <v>678</v>
      </c>
    </row>
    <row r="240" spans="2:4" x14ac:dyDescent="0.2">
      <c r="B240" s="147">
        <v>41456</v>
      </c>
      <c r="C240" s="103" t="s">
        <v>8</v>
      </c>
      <c r="D240" s="152">
        <v>678</v>
      </c>
    </row>
    <row r="241" spans="2:4" x14ac:dyDescent="0.2">
      <c r="B241" s="147">
        <v>41487</v>
      </c>
      <c r="C241" s="103" t="s">
        <v>8</v>
      </c>
      <c r="D241" s="152">
        <v>678</v>
      </c>
    </row>
    <row r="242" spans="2:4" x14ac:dyDescent="0.2">
      <c r="B242" s="147">
        <v>41518</v>
      </c>
      <c r="C242" s="103" t="s">
        <v>8</v>
      </c>
      <c r="D242" s="152">
        <v>678</v>
      </c>
    </row>
    <row r="243" spans="2:4" x14ac:dyDescent="0.2">
      <c r="B243" s="147">
        <v>41548</v>
      </c>
      <c r="C243" s="103" t="s">
        <v>8</v>
      </c>
      <c r="D243" s="152">
        <v>678</v>
      </c>
    </row>
    <row r="244" spans="2:4" x14ac:dyDescent="0.2">
      <c r="B244" s="147">
        <v>41579</v>
      </c>
      <c r="C244" s="103" t="s">
        <v>8</v>
      </c>
      <c r="D244" s="152">
        <v>678</v>
      </c>
    </row>
    <row r="245" spans="2:4" x14ac:dyDescent="0.2">
      <c r="B245" s="148">
        <v>41609</v>
      </c>
      <c r="C245" s="104" t="s">
        <v>8</v>
      </c>
      <c r="D245" s="153">
        <v>678</v>
      </c>
    </row>
    <row r="246" spans="2:4" x14ac:dyDescent="0.2">
      <c r="B246" s="149">
        <v>41640</v>
      </c>
      <c r="C246" s="106" t="s">
        <v>8</v>
      </c>
      <c r="D246" s="154">
        <v>724</v>
      </c>
    </row>
    <row r="247" spans="2:4" x14ac:dyDescent="0.2">
      <c r="B247" s="147">
        <v>41671</v>
      </c>
      <c r="C247" s="103" t="s">
        <v>8</v>
      </c>
      <c r="D247" s="152">
        <v>724</v>
      </c>
    </row>
    <row r="248" spans="2:4" x14ac:dyDescent="0.2">
      <c r="B248" s="147">
        <v>41699</v>
      </c>
      <c r="C248" s="103" t="s">
        <v>8</v>
      </c>
      <c r="D248" s="152">
        <v>724</v>
      </c>
    </row>
    <row r="249" spans="2:4" x14ac:dyDescent="0.2">
      <c r="B249" s="147">
        <v>41730</v>
      </c>
      <c r="C249" s="103" t="s">
        <v>8</v>
      </c>
      <c r="D249" s="152">
        <v>724</v>
      </c>
    </row>
    <row r="250" spans="2:4" x14ac:dyDescent="0.2">
      <c r="B250" s="147">
        <v>41760</v>
      </c>
      <c r="C250" s="103" t="s">
        <v>8</v>
      </c>
      <c r="D250" s="152">
        <v>724</v>
      </c>
    </row>
    <row r="251" spans="2:4" x14ac:dyDescent="0.2">
      <c r="B251" s="147">
        <v>41791</v>
      </c>
      <c r="C251" s="103" t="s">
        <v>8</v>
      </c>
      <c r="D251" s="152">
        <v>724</v>
      </c>
    </row>
    <row r="252" spans="2:4" x14ac:dyDescent="0.2">
      <c r="B252" s="147">
        <v>41821</v>
      </c>
      <c r="C252" s="103" t="s">
        <v>8</v>
      </c>
      <c r="D252" s="152">
        <v>724</v>
      </c>
    </row>
    <row r="253" spans="2:4" x14ac:dyDescent="0.2">
      <c r="B253" s="147">
        <v>41852</v>
      </c>
      <c r="C253" s="103" t="s">
        <v>8</v>
      </c>
      <c r="D253" s="152">
        <v>724</v>
      </c>
    </row>
    <row r="254" spans="2:4" x14ac:dyDescent="0.2">
      <c r="B254" s="147">
        <v>41883</v>
      </c>
      <c r="C254" s="103" t="s">
        <v>8</v>
      </c>
      <c r="D254" s="152">
        <v>724</v>
      </c>
    </row>
    <row r="255" spans="2:4" x14ac:dyDescent="0.2">
      <c r="B255" s="147">
        <v>41913</v>
      </c>
      <c r="C255" s="103" t="s">
        <v>8</v>
      </c>
      <c r="D255" s="152">
        <v>724</v>
      </c>
    </row>
    <row r="256" spans="2:4" x14ac:dyDescent="0.2">
      <c r="B256" s="147">
        <v>41944</v>
      </c>
      <c r="C256" s="103" t="s">
        <v>8</v>
      </c>
      <c r="D256" s="152">
        <v>724</v>
      </c>
    </row>
    <row r="257" spans="2:4" x14ac:dyDescent="0.2">
      <c r="B257" s="148">
        <v>41974</v>
      </c>
      <c r="C257" s="104" t="s">
        <v>8</v>
      </c>
      <c r="D257" s="155">
        <v>724</v>
      </c>
    </row>
    <row r="258" spans="2:4" x14ac:dyDescent="0.2">
      <c r="B258" s="149">
        <v>42005</v>
      </c>
      <c r="C258" s="106" t="s">
        <v>8</v>
      </c>
      <c r="D258" s="154">
        <v>788</v>
      </c>
    </row>
    <row r="259" spans="2:4" x14ac:dyDescent="0.2">
      <c r="B259" s="147">
        <v>42036</v>
      </c>
      <c r="C259" s="103" t="s">
        <v>8</v>
      </c>
      <c r="D259" s="152">
        <v>788</v>
      </c>
    </row>
    <row r="260" spans="2:4" x14ac:dyDescent="0.2">
      <c r="B260" s="147">
        <v>42064</v>
      </c>
      <c r="C260" s="103" t="s">
        <v>8</v>
      </c>
      <c r="D260" s="152">
        <v>788</v>
      </c>
    </row>
    <row r="261" spans="2:4" x14ac:dyDescent="0.2">
      <c r="B261" s="147">
        <v>42095</v>
      </c>
      <c r="C261" s="103" t="s">
        <v>8</v>
      </c>
      <c r="D261" s="152">
        <v>788</v>
      </c>
    </row>
    <row r="262" spans="2:4" x14ac:dyDescent="0.2">
      <c r="B262" s="147">
        <v>42125</v>
      </c>
      <c r="C262" s="103" t="s">
        <v>8</v>
      </c>
      <c r="D262" s="152">
        <v>788</v>
      </c>
    </row>
    <row r="263" spans="2:4" x14ac:dyDescent="0.2">
      <c r="B263" s="147">
        <v>42156</v>
      </c>
      <c r="C263" s="103" t="s">
        <v>8</v>
      </c>
      <c r="D263" s="152">
        <v>788</v>
      </c>
    </row>
    <row r="264" spans="2:4" x14ac:dyDescent="0.2">
      <c r="B264" s="147">
        <v>42186</v>
      </c>
      <c r="C264" s="103" t="s">
        <v>8</v>
      </c>
      <c r="D264" s="152">
        <v>788</v>
      </c>
    </row>
    <row r="265" spans="2:4" x14ac:dyDescent="0.2">
      <c r="B265" s="147">
        <v>42217</v>
      </c>
      <c r="C265" s="103" t="s">
        <v>8</v>
      </c>
      <c r="D265" s="152">
        <v>788</v>
      </c>
    </row>
    <row r="266" spans="2:4" x14ac:dyDescent="0.2">
      <c r="B266" s="147">
        <v>42248</v>
      </c>
      <c r="C266" s="103" t="s">
        <v>8</v>
      </c>
      <c r="D266" s="152">
        <v>788</v>
      </c>
    </row>
    <row r="267" spans="2:4" x14ac:dyDescent="0.2">
      <c r="B267" s="147">
        <v>42278</v>
      </c>
      <c r="C267" s="103" t="s">
        <v>8</v>
      </c>
      <c r="D267" s="152">
        <v>788</v>
      </c>
    </row>
    <row r="268" spans="2:4" x14ac:dyDescent="0.2">
      <c r="B268" s="147">
        <v>42309</v>
      </c>
      <c r="C268" s="103" t="s">
        <v>8</v>
      </c>
      <c r="D268" s="152">
        <v>788</v>
      </c>
    </row>
    <row r="269" spans="2:4" x14ac:dyDescent="0.2">
      <c r="B269" s="148">
        <v>42339</v>
      </c>
      <c r="C269" s="104" t="s">
        <v>8</v>
      </c>
      <c r="D269" s="155">
        <v>788</v>
      </c>
    </row>
    <row r="270" spans="2:4" x14ac:dyDescent="0.2">
      <c r="B270" s="149">
        <v>42370</v>
      </c>
      <c r="C270" s="106" t="s">
        <v>8</v>
      </c>
      <c r="D270" s="154">
        <v>880</v>
      </c>
    </row>
    <row r="271" spans="2:4" x14ac:dyDescent="0.2">
      <c r="B271" s="147">
        <v>42401</v>
      </c>
      <c r="C271" s="103" t="s">
        <v>8</v>
      </c>
      <c r="D271" s="152">
        <v>880</v>
      </c>
    </row>
    <row r="272" spans="2:4" x14ac:dyDescent="0.2">
      <c r="B272" s="147">
        <v>42430</v>
      </c>
      <c r="C272" s="103" t="s">
        <v>8</v>
      </c>
      <c r="D272" s="152">
        <v>880</v>
      </c>
    </row>
    <row r="273" spans="2:4" x14ac:dyDescent="0.2">
      <c r="B273" s="147">
        <v>42461</v>
      </c>
      <c r="C273" s="103" t="s">
        <v>8</v>
      </c>
      <c r="D273" s="152">
        <v>880</v>
      </c>
    </row>
    <row r="274" spans="2:4" x14ac:dyDescent="0.2">
      <c r="B274" s="147">
        <v>42491</v>
      </c>
      <c r="C274" s="103" t="s">
        <v>8</v>
      </c>
      <c r="D274" s="152">
        <v>880</v>
      </c>
    </row>
    <row r="275" spans="2:4" x14ac:dyDescent="0.2">
      <c r="B275" s="147">
        <v>42522</v>
      </c>
      <c r="C275" s="103" t="s">
        <v>8</v>
      </c>
      <c r="D275" s="152">
        <v>880</v>
      </c>
    </row>
    <row r="276" spans="2:4" x14ac:dyDescent="0.2">
      <c r="B276" s="147">
        <v>42552</v>
      </c>
      <c r="C276" s="103" t="s">
        <v>8</v>
      </c>
      <c r="D276" s="152">
        <v>880</v>
      </c>
    </row>
    <row r="277" spans="2:4" x14ac:dyDescent="0.2">
      <c r="B277" s="147">
        <v>42583</v>
      </c>
      <c r="C277" s="103" t="s">
        <v>8</v>
      </c>
      <c r="D277" s="152">
        <v>880</v>
      </c>
    </row>
    <row r="278" spans="2:4" x14ac:dyDescent="0.2">
      <c r="B278" s="147">
        <v>42614</v>
      </c>
      <c r="C278" s="103" t="s">
        <v>8</v>
      </c>
      <c r="D278" s="152">
        <v>880</v>
      </c>
    </row>
    <row r="279" spans="2:4" x14ac:dyDescent="0.2">
      <c r="B279" s="147">
        <v>42644</v>
      </c>
      <c r="C279" s="103" t="s">
        <v>8</v>
      </c>
      <c r="D279" s="152">
        <v>880</v>
      </c>
    </row>
    <row r="280" spans="2:4" x14ac:dyDescent="0.2">
      <c r="B280" s="147">
        <v>42675</v>
      </c>
      <c r="C280" s="103" t="s">
        <v>8</v>
      </c>
      <c r="D280" s="152">
        <v>880</v>
      </c>
    </row>
    <row r="281" spans="2:4" x14ac:dyDescent="0.2">
      <c r="B281" s="148">
        <v>42705</v>
      </c>
      <c r="C281" s="104" t="s">
        <v>8</v>
      </c>
      <c r="D281" s="155">
        <v>880</v>
      </c>
    </row>
    <row r="282" spans="2:4" x14ac:dyDescent="0.2">
      <c r="B282" s="149">
        <v>42736</v>
      </c>
      <c r="C282" s="106" t="s">
        <v>8</v>
      </c>
      <c r="D282" s="154">
        <v>937</v>
      </c>
    </row>
    <row r="283" spans="2:4" x14ac:dyDescent="0.2">
      <c r="B283" s="147">
        <v>42767</v>
      </c>
      <c r="C283" s="103" t="s">
        <v>8</v>
      </c>
      <c r="D283" s="152">
        <v>937</v>
      </c>
    </row>
    <row r="284" spans="2:4" x14ac:dyDescent="0.2">
      <c r="B284" s="147">
        <v>42795</v>
      </c>
      <c r="C284" s="103" t="s">
        <v>8</v>
      </c>
      <c r="D284" s="152">
        <v>937</v>
      </c>
    </row>
    <row r="285" spans="2:4" x14ac:dyDescent="0.2">
      <c r="B285" s="147">
        <v>42826</v>
      </c>
      <c r="C285" s="103" t="s">
        <v>8</v>
      </c>
      <c r="D285" s="152">
        <v>937</v>
      </c>
    </row>
    <row r="286" spans="2:4" x14ac:dyDescent="0.2">
      <c r="B286" s="147">
        <v>42856</v>
      </c>
      <c r="C286" s="103" t="s">
        <v>8</v>
      </c>
      <c r="D286" s="152">
        <v>937</v>
      </c>
    </row>
    <row r="287" spans="2:4" x14ac:dyDescent="0.2">
      <c r="B287" s="147">
        <v>42887</v>
      </c>
      <c r="C287" s="103" t="s">
        <v>8</v>
      </c>
      <c r="D287" s="152">
        <v>937</v>
      </c>
    </row>
    <row r="288" spans="2:4" x14ac:dyDescent="0.2">
      <c r="B288" s="147">
        <v>42917</v>
      </c>
      <c r="C288" s="103" t="s">
        <v>8</v>
      </c>
      <c r="D288" s="152">
        <v>937</v>
      </c>
    </row>
    <row r="289" spans="2:4" x14ac:dyDescent="0.2">
      <c r="B289" s="147">
        <v>42948</v>
      </c>
      <c r="C289" s="103" t="s">
        <v>8</v>
      </c>
      <c r="D289" s="152">
        <v>937</v>
      </c>
    </row>
    <row r="290" spans="2:4" x14ac:dyDescent="0.2">
      <c r="B290" s="147">
        <v>42979</v>
      </c>
      <c r="C290" s="103" t="s">
        <v>8</v>
      </c>
      <c r="D290" s="152">
        <v>937</v>
      </c>
    </row>
    <row r="291" spans="2:4" x14ac:dyDescent="0.2">
      <c r="B291" s="147">
        <v>43009</v>
      </c>
      <c r="C291" s="103" t="s">
        <v>8</v>
      </c>
      <c r="D291" s="152">
        <v>937</v>
      </c>
    </row>
    <row r="292" spans="2:4" x14ac:dyDescent="0.2">
      <c r="B292" s="147">
        <v>43040</v>
      </c>
      <c r="C292" s="103" t="s">
        <v>8</v>
      </c>
      <c r="D292" s="152">
        <v>937</v>
      </c>
    </row>
    <row r="293" spans="2:4" x14ac:dyDescent="0.2">
      <c r="B293" s="148">
        <v>43070</v>
      </c>
      <c r="C293" s="104" t="s">
        <v>8</v>
      </c>
      <c r="D293" s="155">
        <v>937</v>
      </c>
    </row>
    <row r="294" spans="2:4" x14ac:dyDescent="0.2">
      <c r="B294" s="149">
        <v>43101</v>
      </c>
      <c r="C294" s="106" t="s">
        <v>8</v>
      </c>
      <c r="D294" s="156">
        <v>954</v>
      </c>
    </row>
    <row r="295" spans="2:4" x14ac:dyDescent="0.2">
      <c r="B295" s="147">
        <v>43132</v>
      </c>
      <c r="C295" s="103" t="s">
        <v>8</v>
      </c>
      <c r="D295" s="157">
        <v>954</v>
      </c>
    </row>
    <row r="296" spans="2:4" x14ac:dyDescent="0.2">
      <c r="B296" s="147">
        <v>43160</v>
      </c>
      <c r="C296" s="103" t="s">
        <v>8</v>
      </c>
      <c r="D296" s="157">
        <v>954</v>
      </c>
    </row>
    <row r="297" spans="2:4" x14ac:dyDescent="0.2">
      <c r="B297" s="147">
        <v>43191</v>
      </c>
      <c r="C297" s="103" t="s">
        <v>8</v>
      </c>
      <c r="D297" s="157">
        <v>954</v>
      </c>
    </row>
    <row r="298" spans="2:4" x14ac:dyDescent="0.2">
      <c r="B298" s="147">
        <v>43221</v>
      </c>
      <c r="C298" s="103" t="s">
        <v>8</v>
      </c>
      <c r="D298" s="157">
        <v>954</v>
      </c>
    </row>
    <row r="299" spans="2:4" x14ac:dyDescent="0.2">
      <c r="B299" s="147">
        <v>43252</v>
      </c>
      <c r="C299" s="103" t="s">
        <v>8</v>
      </c>
      <c r="D299" s="157">
        <v>954</v>
      </c>
    </row>
    <row r="300" spans="2:4" x14ac:dyDescent="0.2">
      <c r="B300" s="147">
        <v>43282</v>
      </c>
      <c r="C300" s="103" t="s">
        <v>8</v>
      </c>
      <c r="D300" s="157">
        <v>954</v>
      </c>
    </row>
    <row r="301" spans="2:4" x14ac:dyDescent="0.2">
      <c r="B301" s="147">
        <v>43313</v>
      </c>
      <c r="C301" s="103" t="s">
        <v>8</v>
      </c>
      <c r="D301" s="157">
        <v>954</v>
      </c>
    </row>
    <row r="302" spans="2:4" x14ac:dyDescent="0.2">
      <c r="B302" s="147">
        <v>43344</v>
      </c>
      <c r="C302" s="103" t="s">
        <v>8</v>
      </c>
      <c r="D302" s="157">
        <v>954</v>
      </c>
    </row>
    <row r="303" spans="2:4" x14ac:dyDescent="0.2">
      <c r="B303" s="147">
        <v>43374</v>
      </c>
      <c r="C303" s="103" t="s">
        <v>8</v>
      </c>
      <c r="D303" s="157">
        <v>954</v>
      </c>
    </row>
    <row r="304" spans="2:4" x14ac:dyDescent="0.2">
      <c r="B304" s="147">
        <v>43405</v>
      </c>
      <c r="C304" s="103" t="s">
        <v>8</v>
      </c>
      <c r="D304" s="157">
        <v>954</v>
      </c>
    </row>
    <row r="305" spans="2:4" x14ac:dyDescent="0.2">
      <c r="B305" s="148">
        <v>43435</v>
      </c>
      <c r="C305" s="104" t="s">
        <v>8</v>
      </c>
      <c r="D305" s="155">
        <v>954</v>
      </c>
    </row>
    <row r="306" spans="2:4" x14ac:dyDescent="0.2">
      <c r="B306" s="149">
        <v>43466</v>
      </c>
      <c r="C306" s="106" t="s">
        <v>8</v>
      </c>
      <c r="D306" s="156">
        <v>998</v>
      </c>
    </row>
    <row r="307" spans="2:4" x14ac:dyDescent="0.2">
      <c r="B307" s="147">
        <v>43497</v>
      </c>
      <c r="C307" s="103" t="s">
        <v>8</v>
      </c>
      <c r="D307" s="157">
        <v>998</v>
      </c>
    </row>
    <row r="308" spans="2:4" x14ac:dyDescent="0.2">
      <c r="B308" s="147">
        <v>43525</v>
      </c>
      <c r="C308" s="103" t="s">
        <v>8</v>
      </c>
      <c r="D308" s="157">
        <v>998</v>
      </c>
    </row>
    <row r="309" spans="2:4" x14ac:dyDescent="0.2">
      <c r="B309" s="147">
        <v>43556</v>
      </c>
      <c r="C309" s="103" t="s">
        <v>8</v>
      </c>
      <c r="D309" s="157">
        <v>998</v>
      </c>
    </row>
    <row r="310" spans="2:4" x14ac:dyDescent="0.2">
      <c r="B310" s="147">
        <v>43586</v>
      </c>
      <c r="C310" s="103" t="s">
        <v>8</v>
      </c>
      <c r="D310" s="157">
        <v>998</v>
      </c>
    </row>
    <row r="311" spans="2:4" x14ac:dyDescent="0.2">
      <c r="B311" s="147">
        <v>43617</v>
      </c>
      <c r="C311" s="103" t="s">
        <v>8</v>
      </c>
      <c r="D311" s="157">
        <v>998</v>
      </c>
    </row>
    <row r="312" spans="2:4" x14ac:dyDescent="0.2">
      <c r="B312" s="147">
        <v>43647</v>
      </c>
      <c r="C312" s="103" t="s">
        <v>8</v>
      </c>
      <c r="D312" s="157">
        <v>998</v>
      </c>
    </row>
    <row r="313" spans="2:4" x14ac:dyDescent="0.2">
      <c r="B313" s="147">
        <v>43678</v>
      </c>
      <c r="C313" s="103" t="s">
        <v>8</v>
      </c>
      <c r="D313" s="157">
        <v>998</v>
      </c>
    </row>
    <row r="314" spans="2:4" x14ac:dyDescent="0.2">
      <c r="B314" s="147">
        <v>43709</v>
      </c>
      <c r="C314" s="103" t="s">
        <v>8</v>
      </c>
      <c r="D314" s="157">
        <v>998</v>
      </c>
    </row>
    <row r="315" spans="2:4" x14ac:dyDescent="0.2">
      <c r="B315" s="147">
        <v>43739</v>
      </c>
      <c r="C315" s="103" t="s">
        <v>8</v>
      </c>
      <c r="D315" s="157">
        <v>998</v>
      </c>
    </row>
    <row r="316" spans="2:4" x14ac:dyDescent="0.2">
      <c r="B316" s="147">
        <v>43770</v>
      </c>
      <c r="C316" s="103" t="s">
        <v>8</v>
      </c>
      <c r="D316" s="157">
        <v>998</v>
      </c>
    </row>
    <row r="317" spans="2:4" x14ac:dyDescent="0.2">
      <c r="B317" s="148">
        <v>43800</v>
      </c>
      <c r="C317" s="104" t="s">
        <v>8</v>
      </c>
      <c r="D317" s="155">
        <v>998</v>
      </c>
    </row>
    <row r="318" spans="2:4" x14ac:dyDescent="0.2">
      <c r="B318" s="149">
        <v>43831</v>
      </c>
      <c r="C318" s="106" t="s">
        <v>8</v>
      </c>
      <c r="D318" s="156">
        <v>1039</v>
      </c>
    </row>
    <row r="319" spans="2:4" x14ac:dyDescent="0.2">
      <c r="B319" s="147">
        <v>43862</v>
      </c>
      <c r="C319" s="103" t="s">
        <v>8</v>
      </c>
      <c r="D319" s="157">
        <v>1045</v>
      </c>
    </row>
    <row r="320" spans="2:4" x14ac:dyDescent="0.2">
      <c r="B320" s="147">
        <v>43891</v>
      </c>
      <c r="C320" s="103" t="s">
        <v>8</v>
      </c>
      <c r="D320" s="157">
        <v>1045</v>
      </c>
    </row>
    <row r="321" spans="2:4" x14ac:dyDescent="0.2">
      <c r="B321" s="147">
        <v>43922</v>
      </c>
      <c r="C321" s="103" t="s">
        <v>8</v>
      </c>
      <c r="D321" s="157">
        <v>1045</v>
      </c>
    </row>
    <row r="322" spans="2:4" x14ac:dyDescent="0.2">
      <c r="B322" s="147">
        <v>43952</v>
      </c>
      <c r="C322" s="103" t="s">
        <v>8</v>
      </c>
      <c r="D322" s="157">
        <v>1045</v>
      </c>
    </row>
    <row r="323" spans="2:4" x14ac:dyDescent="0.2">
      <c r="B323" s="147">
        <v>43983</v>
      </c>
      <c r="C323" s="103" t="s">
        <v>8</v>
      </c>
      <c r="D323" s="157">
        <v>1045</v>
      </c>
    </row>
    <row r="324" spans="2:4" x14ac:dyDescent="0.2">
      <c r="B324" s="147">
        <v>44013</v>
      </c>
      <c r="C324" s="103" t="s">
        <v>8</v>
      </c>
      <c r="D324" s="157">
        <v>1045</v>
      </c>
    </row>
    <row r="325" spans="2:4" x14ac:dyDescent="0.2">
      <c r="B325" s="147">
        <v>44044</v>
      </c>
      <c r="C325" s="103" t="s">
        <v>8</v>
      </c>
      <c r="D325" s="157">
        <v>1045</v>
      </c>
    </row>
    <row r="326" spans="2:4" x14ac:dyDescent="0.2">
      <c r="B326" s="147">
        <v>44075</v>
      </c>
      <c r="C326" s="103" t="s">
        <v>8</v>
      </c>
      <c r="D326" s="157">
        <v>1045</v>
      </c>
    </row>
    <row r="327" spans="2:4" x14ac:dyDescent="0.2">
      <c r="B327" s="147">
        <v>44105</v>
      </c>
      <c r="C327" s="103" t="s">
        <v>8</v>
      </c>
      <c r="D327" s="157">
        <v>1045</v>
      </c>
    </row>
    <row r="328" spans="2:4" x14ac:dyDescent="0.2">
      <c r="B328" s="147">
        <v>44136</v>
      </c>
      <c r="C328" s="103" t="s">
        <v>8</v>
      </c>
      <c r="D328" s="157">
        <v>1045</v>
      </c>
    </row>
    <row r="329" spans="2:4" x14ac:dyDescent="0.2">
      <c r="B329" s="148">
        <v>44166</v>
      </c>
      <c r="C329" s="104" t="s">
        <v>8</v>
      </c>
      <c r="D329" s="155">
        <v>1045</v>
      </c>
    </row>
    <row r="330" spans="2:4" x14ac:dyDescent="0.2">
      <c r="B330" s="149">
        <v>44197</v>
      </c>
      <c r="C330" s="106" t="s">
        <v>8</v>
      </c>
      <c r="D330" s="156">
        <v>1100</v>
      </c>
    </row>
    <row r="331" spans="2:4" x14ac:dyDescent="0.2">
      <c r="B331" s="147">
        <v>44228</v>
      </c>
      <c r="C331" s="103" t="s">
        <v>8</v>
      </c>
      <c r="D331" s="157">
        <v>1100</v>
      </c>
    </row>
    <row r="332" spans="2:4" x14ac:dyDescent="0.2">
      <c r="B332" s="147">
        <v>44256</v>
      </c>
      <c r="C332" s="103" t="s">
        <v>8</v>
      </c>
      <c r="D332" s="157">
        <v>1100</v>
      </c>
    </row>
    <row r="333" spans="2:4" x14ac:dyDescent="0.2">
      <c r="B333" s="147">
        <v>44287</v>
      </c>
      <c r="C333" s="103" t="s">
        <v>8</v>
      </c>
      <c r="D333" s="157">
        <v>1100</v>
      </c>
    </row>
    <row r="334" spans="2:4" x14ac:dyDescent="0.2">
      <c r="B334" s="147">
        <v>44317</v>
      </c>
      <c r="C334" s="103" t="s">
        <v>8</v>
      </c>
      <c r="D334" s="157">
        <v>1100</v>
      </c>
    </row>
    <row r="335" spans="2:4" x14ac:dyDescent="0.2">
      <c r="B335" s="147">
        <v>44348</v>
      </c>
      <c r="C335" s="103" t="s">
        <v>8</v>
      </c>
      <c r="D335" s="157">
        <v>1100</v>
      </c>
    </row>
    <row r="336" spans="2:4" x14ac:dyDescent="0.2">
      <c r="B336" s="147">
        <v>44378</v>
      </c>
      <c r="C336" s="103" t="s">
        <v>8</v>
      </c>
      <c r="D336" s="157">
        <v>1100</v>
      </c>
    </row>
    <row r="337" spans="2:4" x14ac:dyDescent="0.2">
      <c r="B337" s="147">
        <v>44409</v>
      </c>
      <c r="C337" s="103" t="s">
        <v>8</v>
      </c>
      <c r="D337" s="157">
        <v>1100</v>
      </c>
    </row>
    <row r="338" spans="2:4" x14ac:dyDescent="0.2">
      <c r="B338" s="147">
        <v>44440</v>
      </c>
      <c r="C338" s="103" t="s">
        <v>8</v>
      </c>
      <c r="D338" s="157">
        <v>1100</v>
      </c>
    </row>
    <row r="339" spans="2:4" x14ac:dyDescent="0.2">
      <c r="B339" s="147">
        <v>44470</v>
      </c>
      <c r="C339" s="103" t="s">
        <v>8</v>
      </c>
      <c r="D339" s="157">
        <v>1100</v>
      </c>
    </row>
    <row r="340" spans="2:4" x14ac:dyDescent="0.2">
      <c r="B340" s="147">
        <v>44501</v>
      </c>
      <c r="C340" s="103" t="s">
        <v>8</v>
      </c>
      <c r="D340" s="157">
        <v>1100</v>
      </c>
    </row>
    <row r="341" spans="2:4" x14ac:dyDescent="0.2">
      <c r="B341" s="148">
        <v>44531</v>
      </c>
      <c r="C341" s="104" t="s">
        <v>8</v>
      </c>
      <c r="D341" s="155">
        <v>1100</v>
      </c>
    </row>
    <row r="342" spans="2:4" x14ac:dyDescent="0.2">
      <c r="B342" s="146">
        <v>44562</v>
      </c>
      <c r="C342" s="105" t="s">
        <v>8</v>
      </c>
      <c r="D342" s="158">
        <v>1212</v>
      </c>
    </row>
    <row r="343" spans="2:4" x14ac:dyDescent="0.2">
      <c r="B343" s="147">
        <v>44593</v>
      </c>
      <c r="C343" s="103" t="s">
        <v>8</v>
      </c>
      <c r="D343" s="157">
        <v>1212</v>
      </c>
    </row>
    <row r="344" spans="2:4" x14ac:dyDescent="0.2">
      <c r="B344" s="147">
        <v>44621</v>
      </c>
      <c r="C344" s="103" t="s">
        <v>8</v>
      </c>
      <c r="D344" s="157">
        <v>1212</v>
      </c>
    </row>
    <row r="345" spans="2:4" x14ac:dyDescent="0.2">
      <c r="B345" s="147">
        <v>44652</v>
      </c>
      <c r="C345" s="103" t="s">
        <v>8</v>
      </c>
      <c r="D345" s="157">
        <v>1212</v>
      </c>
    </row>
    <row r="346" spans="2:4" x14ac:dyDescent="0.2">
      <c r="B346" s="147">
        <v>44682</v>
      </c>
      <c r="C346" s="103" t="s">
        <v>8</v>
      </c>
      <c r="D346" s="157">
        <v>1212</v>
      </c>
    </row>
    <row r="347" spans="2:4" x14ac:dyDescent="0.2">
      <c r="B347" s="147">
        <v>44713</v>
      </c>
      <c r="C347" s="103" t="s">
        <v>8</v>
      </c>
      <c r="D347" s="157">
        <v>1212</v>
      </c>
    </row>
    <row r="348" spans="2:4" x14ac:dyDescent="0.2">
      <c r="B348" s="147">
        <v>44743</v>
      </c>
      <c r="C348" s="103" t="s">
        <v>8</v>
      </c>
      <c r="D348" s="157">
        <v>1212</v>
      </c>
    </row>
    <row r="349" spans="2:4" x14ac:dyDescent="0.2">
      <c r="B349" s="147">
        <v>44774</v>
      </c>
      <c r="C349" s="103" t="s">
        <v>8</v>
      </c>
      <c r="D349" s="157">
        <v>1212</v>
      </c>
    </row>
    <row r="350" spans="2:4" x14ac:dyDescent="0.2">
      <c r="B350" s="147">
        <v>44805</v>
      </c>
      <c r="C350" s="103" t="s">
        <v>8</v>
      </c>
      <c r="D350" s="157">
        <v>1212</v>
      </c>
    </row>
    <row r="351" spans="2:4" x14ac:dyDescent="0.2">
      <c r="B351" s="147">
        <v>44835</v>
      </c>
      <c r="C351" s="103" t="s">
        <v>8</v>
      </c>
      <c r="D351" s="157">
        <v>1212</v>
      </c>
    </row>
    <row r="352" spans="2:4" x14ac:dyDescent="0.2">
      <c r="B352" s="147">
        <v>44866</v>
      </c>
      <c r="C352" s="103" t="s">
        <v>8</v>
      </c>
      <c r="D352" s="157">
        <v>1212</v>
      </c>
    </row>
    <row r="353" spans="2:4" x14ac:dyDescent="0.2">
      <c r="B353" s="148">
        <v>44896</v>
      </c>
      <c r="C353" s="104" t="s">
        <v>8</v>
      </c>
      <c r="D353" s="155">
        <v>1212</v>
      </c>
    </row>
    <row r="354" spans="2:4" x14ac:dyDescent="0.2">
      <c r="B354" s="149">
        <v>44927</v>
      </c>
      <c r="C354" s="106" t="s">
        <v>8</v>
      </c>
      <c r="D354" s="156">
        <v>1302</v>
      </c>
    </row>
    <row r="355" spans="2:4" x14ac:dyDescent="0.2">
      <c r="B355" s="147">
        <v>44958</v>
      </c>
      <c r="C355" s="103" t="s">
        <v>8</v>
      </c>
      <c r="D355" s="157">
        <v>1302</v>
      </c>
    </row>
    <row r="356" spans="2:4" x14ac:dyDescent="0.2">
      <c r="B356" s="147">
        <v>44986</v>
      </c>
      <c r="C356" s="103" t="s">
        <v>8</v>
      </c>
      <c r="D356" s="157">
        <v>1302</v>
      </c>
    </row>
    <row r="357" spans="2:4" x14ac:dyDescent="0.2">
      <c r="B357" s="147">
        <v>45017</v>
      </c>
      <c r="C357" s="103" t="s">
        <v>8</v>
      </c>
      <c r="D357" s="157">
        <v>1302</v>
      </c>
    </row>
    <row r="358" spans="2:4" x14ac:dyDescent="0.2">
      <c r="B358" s="147">
        <v>45047</v>
      </c>
      <c r="C358" s="103" t="s">
        <v>8</v>
      </c>
      <c r="D358" s="157">
        <v>1320</v>
      </c>
    </row>
    <row r="359" spans="2:4" x14ac:dyDescent="0.2">
      <c r="B359" s="147">
        <v>45078</v>
      </c>
      <c r="C359" s="103" t="s">
        <v>8</v>
      </c>
      <c r="D359" s="157">
        <v>1320</v>
      </c>
    </row>
    <row r="360" spans="2:4" x14ac:dyDescent="0.2">
      <c r="B360" s="147">
        <v>45108</v>
      </c>
      <c r="C360" s="103" t="s">
        <v>8</v>
      </c>
      <c r="D360" s="157">
        <v>1320</v>
      </c>
    </row>
    <row r="361" spans="2:4" x14ac:dyDescent="0.2">
      <c r="B361" s="147">
        <v>45139</v>
      </c>
      <c r="C361" s="103" t="s">
        <v>8</v>
      </c>
      <c r="D361" s="157">
        <v>1320</v>
      </c>
    </row>
    <row r="362" spans="2:4" x14ac:dyDescent="0.2">
      <c r="B362" s="147">
        <v>45170</v>
      </c>
      <c r="C362" s="103" t="s">
        <v>8</v>
      </c>
      <c r="D362" s="157">
        <v>1320</v>
      </c>
    </row>
    <row r="363" spans="2:4" x14ac:dyDescent="0.2">
      <c r="B363" s="147">
        <v>45200</v>
      </c>
      <c r="C363" s="103" t="s">
        <v>8</v>
      </c>
      <c r="D363" s="157">
        <v>1320</v>
      </c>
    </row>
    <row r="364" spans="2:4" x14ac:dyDescent="0.2">
      <c r="B364" s="147">
        <v>45231</v>
      </c>
      <c r="C364" s="103" t="s">
        <v>8</v>
      </c>
      <c r="D364" s="157">
        <v>1320</v>
      </c>
    </row>
    <row r="365" spans="2:4" x14ac:dyDescent="0.2">
      <c r="B365" s="148">
        <v>45261</v>
      </c>
      <c r="C365" s="104" t="s">
        <v>8</v>
      </c>
      <c r="D365" s="155">
        <v>1320</v>
      </c>
    </row>
    <row r="366" spans="2:4" x14ac:dyDescent="0.2">
      <c r="B366" s="149">
        <v>45292</v>
      </c>
      <c r="C366" s="106" t="s">
        <v>8</v>
      </c>
      <c r="D366" s="156">
        <v>1412</v>
      </c>
    </row>
    <row r="367" spans="2:4" x14ac:dyDescent="0.2">
      <c r="B367" s="147">
        <v>45323</v>
      </c>
      <c r="C367" s="103" t="s">
        <v>8</v>
      </c>
      <c r="D367" s="157">
        <v>1412</v>
      </c>
    </row>
    <row r="368" spans="2:4" x14ac:dyDescent="0.2">
      <c r="B368" s="147">
        <v>45352</v>
      </c>
      <c r="C368" s="103" t="s">
        <v>8</v>
      </c>
      <c r="D368" s="157">
        <v>1412</v>
      </c>
    </row>
    <row r="369" spans="2:4" x14ac:dyDescent="0.2">
      <c r="B369" s="147">
        <v>45383</v>
      </c>
      <c r="C369" s="103" t="s">
        <v>8</v>
      </c>
      <c r="D369" s="157">
        <v>1412</v>
      </c>
    </row>
    <row r="370" spans="2:4" x14ac:dyDescent="0.2">
      <c r="B370" s="147">
        <v>45413</v>
      </c>
      <c r="C370" s="103" t="s">
        <v>8</v>
      </c>
      <c r="D370" s="157">
        <v>1412</v>
      </c>
    </row>
    <row r="371" spans="2:4" x14ac:dyDescent="0.2">
      <c r="B371" s="147">
        <v>45444</v>
      </c>
      <c r="C371" s="103" t="s">
        <v>8</v>
      </c>
      <c r="D371" s="157">
        <v>1412</v>
      </c>
    </row>
    <row r="372" spans="2:4" x14ac:dyDescent="0.2">
      <c r="B372" s="147">
        <v>45474</v>
      </c>
      <c r="C372" s="103" t="s">
        <v>8</v>
      </c>
      <c r="D372" s="157">
        <v>1412</v>
      </c>
    </row>
    <row r="373" spans="2:4" x14ac:dyDescent="0.2">
      <c r="B373" s="147">
        <v>45505</v>
      </c>
      <c r="C373" s="103" t="s">
        <v>8</v>
      </c>
      <c r="D373" s="157">
        <v>1412</v>
      </c>
    </row>
    <row r="374" spans="2:4" x14ac:dyDescent="0.2">
      <c r="B374" s="147">
        <v>45536</v>
      </c>
      <c r="C374" s="103" t="s">
        <v>8</v>
      </c>
      <c r="D374" s="157">
        <v>1412</v>
      </c>
    </row>
    <row r="375" spans="2:4" x14ac:dyDescent="0.2">
      <c r="B375" s="147">
        <v>45566</v>
      </c>
      <c r="C375" s="103" t="s">
        <v>8</v>
      </c>
      <c r="D375" s="157">
        <v>1412</v>
      </c>
    </row>
    <row r="376" spans="2:4" x14ac:dyDescent="0.2">
      <c r="B376" s="147">
        <v>45597</v>
      </c>
      <c r="C376" s="103" t="s">
        <v>8</v>
      </c>
      <c r="D376" s="157">
        <v>1412</v>
      </c>
    </row>
    <row r="377" spans="2:4" x14ac:dyDescent="0.2">
      <c r="B377" s="148">
        <v>45627</v>
      </c>
      <c r="C377" s="104" t="s">
        <v>8</v>
      </c>
      <c r="D377" s="155">
        <v>1412</v>
      </c>
    </row>
    <row r="378" spans="2:4" x14ac:dyDescent="0.2">
      <c r="B378" s="149">
        <v>45658</v>
      </c>
      <c r="C378" s="106" t="s">
        <v>8</v>
      </c>
      <c r="D378" s="156">
        <v>1518</v>
      </c>
    </row>
    <row r="379" spans="2:4" x14ac:dyDescent="0.2">
      <c r="B379" s="147">
        <v>45689</v>
      </c>
      <c r="C379" s="103" t="s">
        <v>8</v>
      </c>
      <c r="D379" s="157">
        <v>1518</v>
      </c>
    </row>
    <row r="380" spans="2:4" x14ac:dyDescent="0.2">
      <c r="B380" s="147">
        <v>45717</v>
      </c>
      <c r="C380" s="103" t="s">
        <v>8</v>
      </c>
      <c r="D380" s="157">
        <v>1518</v>
      </c>
    </row>
    <row r="381" spans="2:4" x14ac:dyDescent="0.2">
      <c r="B381" s="147">
        <v>45748</v>
      </c>
      <c r="C381" s="103" t="s">
        <v>8</v>
      </c>
      <c r="D381" s="157">
        <v>1518</v>
      </c>
    </row>
    <row r="382" spans="2:4" x14ac:dyDescent="0.2">
      <c r="B382" s="147">
        <v>45778</v>
      </c>
      <c r="C382" s="103" t="s">
        <v>8</v>
      </c>
      <c r="D382" s="157">
        <v>1518</v>
      </c>
    </row>
    <row r="383" spans="2:4" x14ac:dyDescent="0.2">
      <c r="B383" s="147">
        <v>45809</v>
      </c>
      <c r="C383" s="103" t="s">
        <v>8</v>
      </c>
      <c r="D383" s="157">
        <v>1518</v>
      </c>
    </row>
    <row r="384" spans="2:4" x14ac:dyDescent="0.2">
      <c r="B384" s="147">
        <v>45839</v>
      </c>
      <c r="C384" s="103" t="s">
        <v>8</v>
      </c>
      <c r="D384" s="157">
        <v>1518</v>
      </c>
    </row>
    <row r="385" spans="2:4" x14ac:dyDescent="0.2">
      <c r="B385" s="147">
        <v>45870</v>
      </c>
      <c r="C385" s="103" t="s">
        <v>8</v>
      </c>
      <c r="D385" s="157">
        <v>1518</v>
      </c>
    </row>
    <row r="386" spans="2:4" x14ac:dyDescent="0.2">
      <c r="B386" s="147">
        <v>45901</v>
      </c>
      <c r="C386" s="103" t="s">
        <v>8</v>
      </c>
      <c r="D386" s="157">
        <v>1518</v>
      </c>
    </row>
    <row r="387" spans="2:4" x14ac:dyDescent="0.2">
      <c r="B387" s="147">
        <v>45931</v>
      </c>
      <c r="C387" s="103" t="s">
        <v>8</v>
      </c>
      <c r="D387" s="157">
        <v>1518</v>
      </c>
    </row>
    <row r="388" spans="2:4" x14ac:dyDescent="0.2">
      <c r="B388" s="147">
        <v>45962</v>
      </c>
      <c r="C388" s="103" t="s">
        <v>8</v>
      </c>
      <c r="D388" s="157">
        <v>1518</v>
      </c>
    </row>
    <row r="389" spans="2:4" x14ac:dyDescent="0.2">
      <c r="B389" s="148">
        <v>45992</v>
      </c>
      <c r="C389" s="104" t="s">
        <v>8</v>
      </c>
      <c r="D389" s="155">
        <v>1518</v>
      </c>
    </row>
    <row r="390" spans="2:4" x14ac:dyDescent="0.2">
      <c r="B390" s="149">
        <v>46023</v>
      </c>
      <c r="C390" s="106" t="s">
        <v>8</v>
      </c>
      <c r="D390" s="156">
        <v>1621</v>
      </c>
    </row>
    <row r="391" spans="2:4" x14ac:dyDescent="0.2">
      <c r="B391" s="147">
        <v>46054</v>
      </c>
      <c r="C391" s="103" t="s">
        <v>8</v>
      </c>
      <c r="D391" s="157">
        <v>1621</v>
      </c>
    </row>
    <row r="392" spans="2:4" x14ac:dyDescent="0.2">
      <c r="B392" s="147">
        <v>46082</v>
      </c>
      <c r="C392" s="103" t="s">
        <v>8</v>
      </c>
      <c r="D392" s="157">
        <v>1621</v>
      </c>
    </row>
    <row r="393" spans="2:4" x14ac:dyDescent="0.2">
      <c r="B393" s="147">
        <v>46113</v>
      </c>
      <c r="C393" s="103" t="s">
        <v>8</v>
      </c>
      <c r="D393" s="157">
        <v>1621</v>
      </c>
    </row>
    <row r="394" spans="2:4" x14ac:dyDescent="0.2">
      <c r="B394" s="147">
        <v>46143</v>
      </c>
      <c r="C394" s="103" t="s">
        <v>8</v>
      </c>
      <c r="D394" s="157">
        <v>1621</v>
      </c>
    </row>
    <row r="395" spans="2:4" x14ac:dyDescent="0.2">
      <c r="B395" s="147">
        <v>46174</v>
      </c>
      <c r="C395" s="103" t="s">
        <v>8</v>
      </c>
      <c r="D395" s="157">
        <v>1621</v>
      </c>
    </row>
    <row r="396" spans="2:4" x14ac:dyDescent="0.2">
      <c r="B396" s="147">
        <v>46204</v>
      </c>
      <c r="C396" s="103" t="s">
        <v>8</v>
      </c>
      <c r="D396" s="157">
        <v>1621</v>
      </c>
    </row>
    <row r="397" spans="2:4" x14ac:dyDescent="0.2">
      <c r="B397" s="147">
        <v>46235</v>
      </c>
      <c r="C397" s="103" t="s">
        <v>8</v>
      </c>
      <c r="D397" s="157">
        <v>1621</v>
      </c>
    </row>
    <row r="398" spans="2:4" x14ac:dyDescent="0.2">
      <c r="B398" s="147">
        <v>46266</v>
      </c>
      <c r="C398" s="103" t="s">
        <v>8</v>
      </c>
      <c r="D398" s="157">
        <v>1621</v>
      </c>
    </row>
    <row r="399" spans="2:4" x14ac:dyDescent="0.2">
      <c r="B399" s="147">
        <v>46296</v>
      </c>
      <c r="C399" s="103" t="s">
        <v>8</v>
      </c>
      <c r="D399" s="157">
        <v>1621</v>
      </c>
    </row>
    <row r="400" spans="2:4" x14ac:dyDescent="0.2">
      <c r="B400" s="147">
        <v>46327</v>
      </c>
      <c r="C400" s="103" t="s">
        <v>8</v>
      </c>
      <c r="D400" s="157">
        <v>1621</v>
      </c>
    </row>
    <row r="401" spans="2:4" x14ac:dyDescent="0.2">
      <c r="B401" s="162">
        <v>46357</v>
      </c>
      <c r="C401" s="163" t="s">
        <v>8</v>
      </c>
      <c r="D401" s="164">
        <v>1621</v>
      </c>
    </row>
    <row r="403" spans="2:4" x14ac:dyDescent="0.2">
      <c r="B403" s="165" t="s">
        <v>82</v>
      </c>
    </row>
    <row r="642" spans="2:4" x14ac:dyDescent="0.2">
      <c r="B642" s="75"/>
      <c r="C642" s="76"/>
      <c r="D642" s="76"/>
    </row>
  </sheetData>
  <sheetProtection sheet="1" objects="1" scenarios="1" formatCells="0" formatColumns="0" formatRows="0" sort="0" autoFilter="0"/>
  <mergeCells count="13">
    <mergeCell ref="X4:X5"/>
    <mergeCell ref="V71:W71"/>
    <mergeCell ref="R4:R5"/>
    <mergeCell ref="S4:S5"/>
    <mergeCell ref="T4:T5"/>
    <mergeCell ref="U4:U5"/>
    <mergeCell ref="V4:V5"/>
    <mergeCell ref="W4:W5"/>
    <mergeCell ref="B2:D3"/>
    <mergeCell ref="G2:K2"/>
    <mergeCell ref="G4:G5"/>
    <mergeCell ref="H4:H5"/>
    <mergeCell ref="I4:K4"/>
  </mergeCells>
  <dataValidations count="3">
    <dataValidation type="list" allowBlank="1" showInputMessage="1" showErrorMessage="1" sqref="O5" xr:uid="{12BA0AAA-A0AA-4736-9B0B-E8797042F9CA}">
      <formula1>$M$8:$M$10</formula1>
    </dataValidation>
    <dataValidation type="list" allowBlank="1" showInputMessage="1" showErrorMessage="1" sqref="O6" xr:uid="{642A0462-29FD-48AB-A436-A5D781967EBB}">
      <formula1>$M$12:$M$14</formula1>
    </dataValidation>
    <dataValidation type="textLength" operator="equal" allowBlank="1" showInputMessage="1" showErrorMessage="1" sqref="M8:M14" xr:uid="{EDE3B8FB-AF26-48BF-8812-BEFF8FB8AE69}">
      <formula1>9999</formula1>
    </dataValidation>
  </dataValidations>
  <hyperlinks>
    <hyperlink ref="B403" location="'Salário Mínimo'!A1" tooltip="Voltar ao topo da tabela" display="↑ topo" xr:uid="{D6E27A03-B279-43E8-AF08-14B568EB6F03}"/>
  </hyperlinks>
  <pageMargins left="0.511811024" right="0.511811024" top="0.78740157499999996" bottom="0.78740157499999996" header="0.31496062000000002" footer="0.31496062000000002"/>
  <pageSetup paperSize="9" orientation="portrait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4A3CA-224E-4C19-B8DB-8F1DB6CE3CB3}">
  <sheetPr codeName="Planilha5">
    <tabColor rgb="FFBDD7EE"/>
  </sheetPr>
  <dimension ref="B1:K476"/>
  <sheetViews>
    <sheetView showGridLines="0" workbookViewId="0">
      <pane ySplit="2" topLeftCell="A7" activePane="bottomLeft" state="frozen"/>
      <selection pane="bottomLeft" activeCell="L35" sqref="L35"/>
    </sheetView>
  </sheetViews>
  <sheetFormatPr defaultRowHeight="12.75" x14ac:dyDescent="0.2"/>
  <cols>
    <col min="1" max="1" width="19.28515625" customWidth="1"/>
    <col min="2" max="2" width="10.7109375" bestFit="1" customWidth="1"/>
    <col min="3" max="3" width="10.7109375" style="8" customWidth="1"/>
    <col min="4" max="4" width="13" bestFit="1" customWidth="1"/>
    <col min="5" max="5" width="9.42578125" customWidth="1"/>
    <col min="6" max="6" width="13.28515625" bestFit="1" customWidth="1"/>
    <col min="7" max="7" width="20.42578125" bestFit="1" customWidth="1"/>
    <col min="8" max="8" width="13.28515625" bestFit="1" customWidth="1"/>
    <col min="9" max="9" width="15.7109375" bestFit="1" customWidth="1"/>
    <col min="10" max="11" width="5" customWidth="1"/>
    <col min="257" max="257" width="8.140625" bestFit="1" customWidth="1"/>
    <col min="258" max="258" width="11.5703125" bestFit="1" customWidth="1"/>
    <col min="259" max="259" width="7.140625" bestFit="1" customWidth="1"/>
    <col min="260" max="260" width="11.5703125" bestFit="1" customWidth="1"/>
    <col min="261" max="262" width="20.140625" bestFit="1" customWidth="1"/>
    <col min="263" max="263" width="11.5703125" bestFit="1" customWidth="1"/>
    <col min="264" max="264" width="20.140625" bestFit="1" customWidth="1"/>
    <col min="265" max="265" width="15.42578125" bestFit="1" customWidth="1"/>
    <col min="266" max="266" width="28.85546875" bestFit="1" customWidth="1"/>
    <col min="267" max="267" width="5" customWidth="1"/>
    <col min="513" max="513" width="8.140625" bestFit="1" customWidth="1"/>
    <col min="514" max="514" width="11.5703125" bestFit="1" customWidth="1"/>
    <col min="515" max="515" width="7.140625" bestFit="1" customWidth="1"/>
    <col min="516" max="516" width="11.5703125" bestFit="1" customWidth="1"/>
    <col min="517" max="518" width="20.140625" bestFit="1" customWidth="1"/>
    <col min="519" max="519" width="11.5703125" bestFit="1" customWidth="1"/>
    <col min="520" max="520" width="20.140625" bestFit="1" customWidth="1"/>
    <col min="521" max="521" width="15.42578125" bestFit="1" customWidth="1"/>
    <col min="522" max="522" width="28.85546875" bestFit="1" customWidth="1"/>
    <col min="523" max="523" width="5" customWidth="1"/>
    <col min="769" max="769" width="8.140625" bestFit="1" customWidth="1"/>
    <col min="770" max="770" width="11.5703125" bestFit="1" customWidth="1"/>
    <col min="771" max="771" width="7.140625" bestFit="1" customWidth="1"/>
    <col min="772" max="772" width="11.5703125" bestFit="1" customWidth="1"/>
    <col min="773" max="774" width="20.140625" bestFit="1" customWidth="1"/>
    <col min="775" max="775" width="11.5703125" bestFit="1" customWidth="1"/>
    <col min="776" max="776" width="20.140625" bestFit="1" customWidth="1"/>
    <col min="777" max="777" width="15.42578125" bestFit="1" customWidth="1"/>
    <col min="778" max="778" width="28.85546875" bestFit="1" customWidth="1"/>
    <col min="779" max="779" width="5" customWidth="1"/>
    <col min="1025" max="1025" width="8.140625" bestFit="1" customWidth="1"/>
    <col min="1026" max="1026" width="11.5703125" bestFit="1" customWidth="1"/>
    <col min="1027" max="1027" width="7.140625" bestFit="1" customWidth="1"/>
    <col min="1028" max="1028" width="11.5703125" bestFit="1" customWidth="1"/>
    <col min="1029" max="1030" width="20.140625" bestFit="1" customWidth="1"/>
    <col min="1031" max="1031" width="11.5703125" bestFit="1" customWidth="1"/>
    <col min="1032" max="1032" width="20.140625" bestFit="1" customWidth="1"/>
    <col min="1033" max="1033" width="15.42578125" bestFit="1" customWidth="1"/>
    <col min="1034" max="1034" width="28.85546875" bestFit="1" customWidth="1"/>
    <col min="1035" max="1035" width="5" customWidth="1"/>
    <col min="1281" max="1281" width="8.140625" bestFit="1" customWidth="1"/>
    <col min="1282" max="1282" width="11.5703125" bestFit="1" customWidth="1"/>
    <col min="1283" max="1283" width="7.140625" bestFit="1" customWidth="1"/>
    <col min="1284" max="1284" width="11.5703125" bestFit="1" customWidth="1"/>
    <col min="1285" max="1286" width="20.140625" bestFit="1" customWidth="1"/>
    <col min="1287" max="1287" width="11.5703125" bestFit="1" customWidth="1"/>
    <col min="1288" max="1288" width="20.140625" bestFit="1" customWidth="1"/>
    <col min="1289" max="1289" width="15.42578125" bestFit="1" customWidth="1"/>
    <col min="1290" max="1290" width="28.85546875" bestFit="1" customWidth="1"/>
    <col min="1291" max="1291" width="5" customWidth="1"/>
    <col min="1537" max="1537" width="8.140625" bestFit="1" customWidth="1"/>
    <col min="1538" max="1538" width="11.5703125" bestFit="1" customWidth="1"/>
    <col min="1539" max="1539" width="7.140625" bestFit="1" customWidth="1"/>
    <col min="1540" max="1540" width="11.5703125" bestFit="1" customWidth="1"/>
    <col min="1541" max="1542" width="20.140625" bestFit="1" customWidth="1"/>
    <col min="1543" max="1543" width="11.5703125" bestFit="1" customWidth="1"/>
    <col min="1544" max="1544" width="20.140625" bestFit="1" customWidth="1"/>
    <col min="1545" max="1545" width="15.42578125" bestFit="1" customWidth="1"/>
    <col min="1546" max="1546" width="28.85546875" bestFit="1" customWidth="1"/>
    <col min="1547" max="1547" width="5" customWidth="1"/>
    <col min="1793" max="1793" width="8.140625" bestFit="1" customWidth="1"/>
    <col min="1794" max="1794" width="11.5703125" bestFit="1" customWidth="1"/>
    <col min="1795" max="1795" width="7.140625" bestFit="1" customWidth="1"/>
    <col min="1796" max="1796" width="11.5703125" bestFit="1" customWidth="1"/>
    <col min="1797" max="1798" width="20.140625" bestFit="1" customWidth="1"/>
    <col min="1799" max="1799" width="11.5703125" bestFit="1" customWidth="1"/>
    <col min="1800" max="1800" width="20.140625" bestFit="1" customWidth="1"/>
    <col min="1801" max="1801" width="15.42578125" bestFit="1" customWidth="1"/>
    <col min="1802" max="1802" width="28.85546875" bestFit="1" customWidth="1"/>
    <col min="1803" max="1803" width="5" customWidth="1"/>
    <col min="2049" max="2049" width="8.140625" bestFit="1" customWidth="1"/>
    <col min="2050" max="2050" width="11.5703125" bestFit="1" customWidth="1"/>
    <col min="2051" max="2051" width="7.140625" bestFit="1" customWidth="1"/>
    <col min="2052" max="2052" width="11.5703125" bestFit="1" customWidth="1"/>
    <col min="2053" max="2054" width="20.140625" bestFit="1" customWidth="1"/>
    <col min="2055" max="2055" width="11.5703125" bestFit="1" customWidth="1"/>
    <col min="2056" max="2056" width="20.140625" bestFit="1" customWidth="1"/>
    <col min="2057" max="2057" width="15.42578125" bestFit="1" customWidth="1"/>
    <col min="2058" max="2058" width="28.85546875" bestFit="1" customWidth="1"/>
    <col min="2059" max="2059" width="5" customWidth="1"/>
    <col min="2305" max="2305" width="8.140625" bestFit="1" customWidth="1"/>
    <col min="2306" max="2306" width="11.5703125" bestFit="1" customWidth="1"/>
    <col min="2307" max="2307" width="7.140625" bestFit="1" customWidth="1"/>
    <col min="2308" max="2308" width="11.5703125" bestFit="1" customWidth="1"/>
    <col min="2309" max="2310" width="20.140625" bestFit="1" customWidth="1"/>
    <col min="2311" max="2311" width="11.5703125" bestFit="1" customWidth="1"/>
    <col min="2312" max="2312" width="20.140625" bestFit="1" customWidth="1"/>
    <col min="2313" max="2313" width="15.42578125" bestFit="1" customWidth="1"/>
    <col min="2314" max="2314" width="28.85546875" bestFit="1" customWidth="1"/>
    <col min="2315" max="2315" width="5" customWidth="1"/>
    <col min="2561" max="2561" width="8.140625" bestFit="1" customWidth="1"/>
    <col min="2562" max="2562" width="11.5703125" bestFit="1" customWidth="1"/>
    <col min="2563" max="2563" width="7.140625" bestFit="1" customWidth="1"/>
    <col min="2564" max="2564" width="11.5703125" bestFit="1" customWidth="1"/>
    <col min="2565" max="2566" width="20.140625" bestFit="1" customWidth="1"/>
    <col min="2567" max="2567" width="11.5703125" bestFit="1" customWidth="1"/>
    <col min="2568" max="2568" width="20.140625" bestFit="1" customWidth="1"/>
    <col min="2569" max="2569" width="15.42578125" bestFit="1" customWidth="1"/>
    <col min="2570" max="2570" width="28.85546875" bestFit="1" customWidth="1"/>
    <col min="2571" max="2571" width="5" customWidth="1"/>
    <col min="2817" max="2817" width="8.140625" bestFit="1" customWidth="1"/>
    <col min="2818" max="2818" width="11.5703125" bestFit="1" customWidth="1"/>
    <col min="2819" max="2819" width="7.140625" bestFit="1" customWidth="1"/>
    <col min="2820" max="2820" width="11.5703125" bestFit="1" customWidth="1"/>
    <col min="2821" max="2822" width="20.140625" bestFit="1" customWidth="1"/>
    <col min="2823" max="2823" width="11.5703125" bestFit="1" customWidth="1"/>
    <col min="2824" max="2824" width="20.140625" bestFit="1" customWidth="1"/>
    <col min="2825" max="2825" width="15.42578125" bestFit="1" customWidth="1"/>
    <col min="2826" max="2826" width="28.85546875" bestFit="1" customWidth="1"/>
    <col min="2827" max="2827" width="5" customWidth="1"/>
    <col min="3073" max="3073" width="8.140625" bestFit="1" customWidth="1"/>
    <col min="3074" max="3074" width="11.5703125" bestFit="1" customWidth="1"/>
    <col min="3075" max="3075" width="7.140625" bestFit="1" customWidth="1"/>
    <col min="3076" max="3076" width="11.5703125" bestFit="1" customWidth="1"/>
    <col min="3077" max="3078" width="20.140625" bestFit="1" customWidth="1"/>
    <col min="3079" max="3079" width="11.5703125" bestFit="1" customWidth="1"/>
    <col min="3080" max="3080" width="20.140625" bestFit="1" customWidth="1"/>
    <col min="3081" max="3081" width="15.42578125" bestFit="1" customWidth="1"/>
    <col min="3082" max="3082" width="28.85546875" bestFit="1" customWidth="1"/>
    <col min="3083" max="3083" width="5" customWidth="1"/>
    <col min="3329" max="3329" width="8.140625" bestFit="1" customWidth="1"/>
    <col min="3330" max="3330" width="11.5703125" bestFit="1" customWidth="1"/>
    <col min="3331" max="3331" width="7.140625" bestFit="1" customWidth="1"/>
    <col min="3332" max="3332" width="11.5703125" bestFit="1" customWidth="1"/>
    <col min="3333" max="3334" width="20.140625" bestFit="1" customWidth="1"/>
    <col min="3335" max="3335" width="11.5703125" bestFit="1" customWidth="1"/>
    <col min="3336" max="3336" width="20.140625" bestFit="1" customWidth="1"/>
    <col min="3337" max="3337" width="15.42578125" bestFit="1" customWidth="1"/>
    <col min="3338" max="3338" width="28.85546875" bestFit="1" customWidth="1"/>
    <col min="3339" max="3339" width="5" customWidth="1"/>
    <col min="3585" max="3585" width="8.140625" bestFit="1" customWidth="1"/>
    <col min="3586" max="3586" width="11.5703125" bestFit="1" customWidth="1"/>
    <col min="3587" max="3587" width="7.140625" bestFit="1" customWidth="1"/>
    <col min="3588" max="3588" width="11.5703125" bestFit="1" customWidth="1"/>
    <col min="3589" max="3590" width="20.140625" bestFit="1" customWidth="1"/>
    <col min="3591" max="3591" width="11.5703125" bestFit="1" customWidth="1"/>
    <col min="3592" max="3592" width="20.140625" bestFit="1" customWidth="1"/>
    <col min="3593" max="3593" width="15.42578125" bestFit="1" customWidth="1"/>
    <col min="3594" max="3594" width="28.85546875" bestFit="1" customWidth="1"/>
    <col min="3595" max="3595" width="5" customWidth="1"/>
    <col min="3841" max="3841" width="8.140625" bestFit="1" customWidth="1"/>
    <col min="3842" max="3842" width="11.5703125" bestFit="1" customWidth="1"/>
    <col min="3843" max="3843" width="7.140625" bestFit="1" customWidth="1"/>
    <col min="3844" max="3844" width="11.5703125" bestFit="1" customWidth="1"/>
    <col min="3845" max="3846" width="20.140625" bestFit="1" customWidth="1"/>
    <col min="3847" max="3847" width="11.5703125" bestFit="1" customWidth="1"/>
    <col min="3848" max="3848" width="20.140625" bestFit="1" customWidth="1"/>
    <col min="3849" max="3849" width="15.42578125" bestFit="1" customWidth="1"/>
    <col min="3850" max="3850" width="28.85546875" bestFit="1" customWidth="1"/>
    <col min="3851" max="3851" width="5" customWidth="1"/>
    <col min="4097" max="4097" width="8.140625" bestFit="1" customWidth="1"/>
    <col min="4098" max="4098" width="11.5703125" bestFit="1" customWidth="1"/>
    <col min="4099" max="4099" width="7.140625" bestFit="1" customWidth="1"/>
    <col min="4100" max="4100" width="11.5703125" bestFit="1" customWidth="1"/>
    <col min="4101" max="4102" width="20.140625" bestFit="1" customWidth="1"/>
    <col min="4103" max="4103" width="11.5703125" bestFit="1" customWidth="1"/>
    <col min="4104" max="4104" width="20.140625" bestFit="1" customWidth="1"/>
    <col min="4105" max="4105" width="15.42578125" bestFit="1" customWidth="1"/>
    <col min="4106" max="4106" width="28.85546875" bestFit="1" customWidth="1"/>
    <col min="4107" max="4107" width="5" customWidth="1"/>
    <col min="4353" max="4353" width="8.140625" bestFit="1" customWidth="1"/>
    <col min="4354" max="4354" width="11.5703125" bestFit="1" customWidth="1"/>
    <col min="4355" max="4355" width="7.140625" bestFit="1" customWidth="1"/>
    <col min="4356" max="4356" width="11.5703125" bestFit="1" customWidth="1"/>
    <col min="4357" max="4358" width="20.140625" bestFit="1" customWidth="1"/>
    <col min="4359" max="4359" width="11.5703125" bestFit="1" customWidth="1"/>
    <col min="4360" max="4360" width="20.140625" bestFit="1" customWidth="1"/>
    <col min="4361" max="4361" width="15.42578125" bestFit="1" customWidth="1"/>
    <col min="4362" max="4362" width="28.85546875" bestFit="1" customWidth="1"/>
    <col min="4363" max="4363" width="5" customWidth="1"/>
    <col min="4609" max="4609" width="8.140625" bestFit="1" customWidth="1"/>
    <col min="4610" max="4610" width="11.5703125" bestFit="1" customWidth="1"/>
    <col min="4611" max="4611" width="7.140625" bestFit="1" customWidth="1"/>
    <col min="4612" max="4612" width="11.5703125" bestFit="1" customWidth="1"/>
    <col min="4613" max="4614" width="20.140625" bestFit="1" customWidth="1"/>
    <col min="4615" max="4615" width="11.5703125" bestFit="1" customWidth="1"/>
    <col min="4616" max="4616" width="20.140625" bestFit="1" customWidth="1"/>
    <col min="4617" max="4617" width="15.42578125" bestFit="1" customWidth="1"/>
    <col min="4618" max="4618" width="28.85546875" bestFit="1" customWidth="1"/>
    <col min="4619" max="4619" width="5" customWidth="1"/>
    <col min="4865" max="4865" width="8.140625" bestFit="1" customWidth="1"/>
    <col min="4866" max="4866" width="11.5703125" bestFit="1" customWidth="1"/>
    <col min="4867" max="4867" width="7.140625" bestFit="1" customWidth="1"/>
    <col min="4868" max="4868" width="11.5703125" bestFit="1" customWidth="1"/>
    <col min="4869" max="4870" width="20.140625" bestFit="1" customWidth="1"/>
    <col min="4871" max="4871" width="11.5703125" bestFit="1" customWidth="1"/>
    <col min="4872" max="4872" width="20.140625" bestFit="1" customWidth="1"/>
    <col min="4873" max="4873" width="15.42578125" bestFit="1" customWidth="1"/>
    <col min="4874" max="4874" width="28.85546875" bestFit="1" customWidth="1"/>
    <col min="4875" max="4875" width="5" customWidth="1"/>
    <col min="5121" max="5121" width="8.140625" bestFit="1" customWidth="1"/>
    <col min="5122" max="5122" width="11.5703125" bestFit="1" customWidth="1"/>
    <col min="5123" max="5123" width="7.140625" bestFit="1" customWidth="1"/>
    <col min="5124" max="5124" width="11.5703125" bestFit="1" customWidth="1"/>
    <col min="5125" max="5126" width="20.140625" bestFit="1" customWidth="1"/>
    <col min="5127" max="5127" width="11.5703125" bestFit="1" customWidth="1"/>
    <col min="5128" max="5128" width="20.140625" bestFit="1" customWidth="1"/>
    <col min="5129" max="5129" width="15.42578125" bestFit="1" customWidth="1"/>
    <col min="5130" max="5130" width="28.85546875" bestFit="1" customWidth="1"/>
    <col min="5131" max="5131" width="5" customWidth="1"/>
    <col min="5377" max="5377" width="8.140625" bestFit="1" customWidth="1"/>
    <col min="5378" max="5378" width="11.5703125" bestFit="1" customWidth="1"/>
    <col min="5379" max="5379" width="7.140625" bestFit="1" customWidth="1"/>
    <col min="5380" max="5380" width="11.5703125" bestFit="1" customWidth="1"/>
    <col min="5381" max="5382" width="20.140625" bestFit="1" customWidth="1"/>
    <col min="5383" max="5383" width="11.5703125" bestFit="1" customWidth="1"/>
    <col min="5384" max="5384" width="20.140625" bestFit="1" customWidth="1"/>
    <col min="5385" max="5385" width="15.42578125" bestFit="1" customWidth="1"/>
    <col min="5386" max="5386" width="28.85546875" bestFit="1" customWidth="1"/>
    <col min="5387" max="5387" width="5" customWidth="1"/>
    <col min="5633" max="5633" width="8.140625" bestFit="1" customWidth="1"/>
    <col min="5634" max="5634" width="11.5703125" bestFit="1" customWidth="1"/>
    <col min="5635" max="5635" width="7.140625" bestFit="1" customWidth="1"/>
    <col min="5636" max="5636" width="11.5703125" bestFit="1" customWidth="1"/>
    <col min="5637" max="5638" width="20.140625" bestFit="1" customWidth="1"/>
    <col min="5639" max="5639" width="11.5703125" bestFit="1" customWidth="1"/>
    <col min="5640" max="5640" width="20.140625" bestFit="1" customWidth="1"/>
    <col min="5641" max="5641" width="15.42578125" bestFit="1" customWidth="1"/>
    <col min="5642" max="5642" width="28.85546875" bestFit="1" customWidth="1"/>
    <col min="5643" max="5643" width="5" customWidth="1"/>
    <col min="5889" max="5889" width="8.140625" bestFit="1" customWidth="1"/>
    <col min="5890" max="5890" width="11.5703125" bestFit="1" customWidth="1"/>
    <col min="5891" max="5891" width="7.140625" bestFit="1" customWidth="1"/>
    <col min="5892" max="5892" width="11.5703125" bestFit="1" customWidth="1"/>
    <col min="5893" max="5894" width="20.140625" bestFit="1" customWidth="1"/>
    <col min="5895" max="5895" width="11.5703125" bestFit="1" customWidth="1"/>
    <col min="5896" max="5896" width="20.140625" bestFit="1" customWidth="1"/>
    <col min="5897" max="5897" width="15.42578125" bestFit="1" customWidth="1"/>
    <col min="5898" max="5898" width="28.85546875" bestFit="1" customWidth="1"/>
    <col min="5899" max="5899" width="5" customWidth="1"/>
    <col min="6145" max="6145" width="8.140625" bestFit="1" customWidth="1"/>
    <col min="6146" max="6146" width="11.5703125" bestFit="1" customWidth="1"/>
    <col min="6147" max="6147" width="7.140625" bestFit="1" customWidth="1"/>
    <col min="6148" max="6148" width="11.5703125" bestFit="1" customWidth="1"/>
    <col min="6149" max="6150" width="20.140625" bestFit="1" customWidth="1"/>
    <col min="6151" max="6151" width="11.5703125" bestFit="1" customWidth="1"/>
    <col min="6152" max="6152" width="20.140625" bestFit="1" customWidth="1"/>
    <col min="6153" max="6153" width="15.42578125" bestFit="1" customWidth="1"/>
    <col min="6154" max="6154" width="28.85546875" bestFit="1" customWidth="1"/>
    <col min="6155" max="6155" width="5" customWidth="1"/>
    <col min="6401" max="6401" width="8.140625" bestFit="1" customWidth="1"/>
    <col min="6402" max="6402" width="11.5703125" bestFit="1" customWidth="1"/>
    <col min="6403" max="6403" width="7.140625" bestFit="1" customWidth="1"/>
    <col min="6404" max="6404" width="11.5703125" bestFit="1" customWidth="1"/>
    <col min="6405" max="6406" width="20.140625" bestFit="1" customWidth="1"/>
    <col min="6407" max="6407" width="11.5703125" bestFit="1" customWidth="1"/>
    <col min="6408" max="6408" width="20.140625" bestFit="1" customWidth="1"/>
    <col min="6409" max="6409" width="15.42578125" bestFit="1" customWidth="1"/>
    <col min="6410" max="6410" width="28.85546875" bestFit="1" customWidth="1"/>
    <col min="6411" max="6411" width="5" customWidth="1"/>
    <col min="6657" max="6657" width="8.140625" bestFit="1" customWidth="1"/>
    <col min="6658" max="6658" width="11.5703125" bestFit="1" customWidth="1"/>
    <col min="6659" max="6659" width="7.140625" bestFit="1" customWidth="1"/>
    <col min="6660" max="6660" width="11.5703125" bestFit="1" customWidth="1"/>
    <col min="6661" max="6662" width="20.140625" bestFit="1" customWidth="1"/>
    <col min="6663" max="6663" width="11.5703125" bestFit="1" customWidth="1"/>
    <col min="6664" max="6664" width="20.140625" bestFit="1" customWidth="1"/>
    <col min="6665" max="6665" width="15.42578125" bestFit="1" customWidth="1"/>
    <col min="6666" max="6666" width="28.85546875" bestFit="1" customWidth="1"/>
    <col min="6667" max="6667" width="5" customWidth="1"/>
    <col min="6913" max="6913" width="8.140625" bestFit="1" customWidth="1"/>
    <col min="6914" max="6914" width="11.5703125" bestFit="1" customWidth="1"/>
    <col min="6915" max="6915" width="7.140625" bestFit="1" customWidth="1"/>
    <col min="6916" max="6916" width="11.5703125" bestFit="1" customWidth="1"/>
    <col min="6917" max="6918" width="20.140625" bestFit="1" customWidth="1"/>
    <col min="6919" max="6919" width="11.5703125" bestFit="1" customWidth="1"/>
    <col min="6920" max="6920" width="20.140625" bestFit="1" customWidth="1"/>
    <col min="6921" max="6921" width="15.42578125" bestFit="1" customWidth="1"/>
    <col min="6922" max="6922" width="28.85546875" bestFit="1" customWidth="1"/>
    <col min="6923" max="6923" width="5" customWidth="1"/>
    <col min="7169" max="7169" width="8.140625" bestFit="1" customWidth="1"/>
    <col min="7170" max="7170" width="11.5703125" bestFit="1" customWidth="1"/>
    <col min="7171" max="7171" width="7.140625" bestFit="1" customWidth="1"/>
    <col min="7172" max="7172" width="11.5703125" bestFit="1" customWidth="1"/>
    <col min="7173" max="7174" width="20.140625" bestFit="1" customWidth="1"/>
    <col min="7175" max="7175" width="11.5703125" bestFit="1" customWidth="1"/>
    <col min="7176" max="7176" width="20.140625" bestFit="1" customWidth="1"/>
    <col min="7177" max="7177" width="15.42578125" bestFit="1" customWidth="1"/>
    <col min="7178" max="7178" width="28.85546875" bestFit="1" customWidth="1"/>
    <col min="7179" max="7179" width="5" customWidth="1"/>
    <col min="7425" max="7425" width="8.140625" bestFit="1" customWidth="1"/>
    <col min="7426" max="7426" width="11.5703125" bestFit="1" customWidth="1"/>
    <col min="7427" max="7427" width="7.140625" bestFit="1" customWidth="1"/>
    <col min="7428" max="7428" width="11.5703125" bestFit="1" customWidth="1"/>
    <col min="7429" max="7430" width="20.140625" bestFit="1" customWidth="1"/>
    <col min="7431" max="7431" width="11.5703125" bestFit="1" customWidth="1"/>
    <col min="7432" max="7432" width="20.140625" bestFit="1" customWidth="1"/>
    <col min="7433" max="7433" width="15.42578125" bestFit="1" customWidth="1"/>
    <col min="7434" max="7434" width="28.85546875" bestFit="1" customWidth="1"/>
    <col min="7435" max="7435" width="5" customWidth="1"/>
    <col min="7681" max="7681" width="8.140625" bestFit="1" customWidth="1"/>
    <col min="7682" max="7682" width="11.5703125" bestFit="1" customWidth="1"/>
    <col min="7683" max="7683" width="7.140625" bestFit="1" customWidth="1"/>
    <col min="7684" max="7684" width="11.5703125" bestFit="1" customWidth="1"/>
    <col min="7685" max="7686" width="20.140625" bestFit="1" customWidth="1"/>
    <col min="7687" max="7687" width="11.5703125" bestFit="1" customWidth="1"/>
    <col min="7688" max="7688" width="20.140625" bestFit="1" customWidth="1"/>
    <col min="7689" max="7689" width="15.42578125" bestFit="1" customWidth="1"/>
    <col min="7690" max="7690" width="28.85546875" bestFit="1" customWidth="1"/>
    <col min="7691" max="7691" width="5" customWidth="1"/>
    <col min="7937" max="7937" width="8.140625" bestFit="1" customWidth="1"/>
    <col min="7938" max="7938" width="11.5703125" bestFit="1" customWidth="1"/>
    <col min="7939" max="7939" width="7.140625" bestFit="1" customWidth="1"/>
    <col min="7940" max="7940" width="11.5703125" bestFit="1" customWidth="1"/>
    <col min="7941" max="7942" width="20.140625" bestFit="1" customWidth="1"/>
    <col min="7943" max="7943" width="11.5703125" bestFit="1" customWidth="1"/>
    <col min="7944" max="7944" width="20.140625" bestFit="1" customWidth="1"/>
    <col min="7945" max="7945" width="15.42578125" bestFit="1" customWidth="1"/>
    <col min="7946" max="7946" width="28.85546875" bestFit="1" customWidth="1"/>
    <col min="7947" max="7947" width="5" customWidth="1"/>
    <col min="8193" max="8193" width="8.140625" bestFit="1" customWidth="1"/>
    <col min="8194" max="8194" width="11.5703125" bestFit="1" customWidth="1"/>
    <col min="8195" max="8195" width="7.140625" bestFit="1" customWidth="1"/>
    <col min="8196" max="8196" width="11.5703125" bestFit="1" customWidth="1"/>
    <col min="8197" max="8198" width="20.140625" bestFit="1" customWidth="1"/>
    <col min="8199" max="8199" width="11.5703125" bestFit="1" customWidth="1"/>
    <col min="8200" max="8200" width="20.140625" bestFit="1" customWidth="1"/>
    <col min="8201" max="8201" width="15.42578125" bestFit="1" customWidth="1"/>
    <col min="8202" max="8202" width="28.85546875" bestFit="1" customWidth="1"/>
    <col min="8203" max="8203" width="5" customWidth="1"/>
    <col min="8449" max="8449" width="8.140625" bestFit="1" customWidth="1"/>
    <col min="8450" max="8450" width="11.5703125" bestFit="1" customWidth="1"/>
    <col min="8451" max="8451" width="7.140625" bestFit="1" customWidth="1"/>
    <col min="8452" max="8452" width="11.5703125" bestFit="1" customWidth="1"/>
    <col min="8453" max="8454" width="20.140625" bestFit="1" customWidth="1"/>
    <col min="8455" max="8455" width="11.5703125" bestFit="1" customWidth="1"/>
    <col min="8456" max="8456" width="20.140625" bestFit="1" customWidth="1"/>
    <col min="8457" max="8457" width="15.42578125" bestFit="1" customWidth="1"/>
    <col min="8458" max="8458" width="28.85546875" bestFit="1" customWidth="1"/>
    <col min="8459" max="8459" width="5" customWidth="1"/>
    <col min="8705" max="8705" width="8.140625" bestFit="1" customWidth="1"/>
    <col min="8706" max="8706" width="11.5703125" bestFit="1" customWidth="1"/>
    <col min="8707" max="8707" width="7.140625" bestFit="1" customWidth="1"/>
    <col min="8708" max="8708" width="11.5703125" bestFit="1" customWidth="1"/>
    <col min="8709" max="8710" width="20.140625" bestFit="1" customWidth="1"/>
    <col min="8711" max="8711" width="11.5703125" bestFit="1" customWidth="1"/>
    <col min="8712" max="8712" width="20.140625" bestFit="1" customWidth="1"/>
    <col min="8713" max="8713" width="15.42578125" bestFit="1" customWidth="1"/>
    <col min="8714" max="8714" width="28.85546875" bestFit="1" customWidth="1"/>
    <col min="8715" max="8715" width="5" customWidth="1"/>
    <col min="8961" max="8961" width="8.140625" bestFit="1" customWidth="1"/>
    <col min="8962" max="8962" width="11.5703125" bestFit="1" customWidth="1"/>
    <col min="8963" max="8963" width="7.140625" bestFit="1" customWidth="1"/>
    <col min="8964" max="8964" width="11.5703125" bestFit="1" customWidth="1"/>
    <col min="8965" max="8966" width="20.140625" bestFit="1" customWidth="1"/>
    <col min="8967" max="8967" width="11.5703125" bestFit="1" customWidth="1"/>
    <col min="8968" max="8968" width="20.140625" bestFit="1" customWidth="1"/>
    <col min="8969" max="8969" width="15.42578125" bestFit="1" customWidth="1"/>
    <col min="8970" max="8970" width="28.85546875" bestFit="1" customWidth="1"/>
    <col min="8971" max="8971" width="5" customWidth="1"/>
    <col min="9217" max="9217" width="8.140625" bestFit="1" customWidth="1"/>
    <col min="9218" max="9218" width="11.5703125" bestFit="1" customWidth="1"/>
    <col min="9219" max="9219" width="7.140625" bestFit="1" customWidth="1"/>
    <col min="9220" max="9220" width="11.5703125" bestFit="1" customWidth="1"/>
    <col min="9221" max="9222" width="20.140625" bestFit="1" customWidth="1"/>
    <col min="9223" max="9223" width="11.5703125" bestFit="1" customWidth="1"/>
    <col min="9224" max="9224" width="20.140625" bestFit="1" customWidth="1"/>
    <col min="9225" max="9225" width="15.42578125" bestFit="1" customWidth="1"/>
    <col min="9226" max="9226" width="28.85546875" bestFit="1" customWidth="1"/>
    <col min="9227" max="9227" width="5" customWidth="1"/>
    <col min="9473" max="9473" width="8.140625" bestFit="1" customWidth="1"/>
    <col min="9474" max="9474" width="11.5703125" bestFit="1" customWidth="1"/>
    <col min="9475" max="9475" width="7.140625" bestFit="1" customWidth="1"/>
    <col min="9476" max="9476" width="11.5703125" bestFit="1" customWidth="1"/>
    <col min="9477" max="9478" width="20.140625" bestFit="1" customWidth="1"/>
    <col min="9479" max="9479" width="11.5703125" bestFit="1" customWidth="1"/>
    <col min="9480" max="9480" width="20.140625" bestFit="1" customWidth="1"/>
    <col min="9481" max="9481" width="15.42578125" bestFit="1" customWidth="1"/>
    <col min="9482" max="9482" width="28.85546875" bestFit="1" customWidth="1"/>
    <col min="9483" max="9483" width="5" customWidth="1"/>
    <col min="9729" max="9729" width="8.140625" bestFit="1" customWidth="1"/>
    <col min="9730" max="9730" width="11.5703125" bestFit="1" customWidth="1"/>
    <col min="9731" max="9731" width="7.140625" bestFit="1" customWidth="1"/>
    <col min="9732" max="9732" width="11.5703125" bestFit="1" customWidth="1"/>
    <col min="9733" max="9734" width="20.140625" bestFit="1" customWidth="1"/>
    <col min="9735" max="9735" width="11.5703125" bestFit="1" customWidth="1"/>
    <col min="9736" max="9736" width="20.140625" bestFit="1" customWidth="1"/>
    <col min="9737" max="9737" width="15.42578125" bestFit="1" customWidth="1"/>
    <col min="9738" max="9738" width="28.85546875" bestFit="1" customWidth="1"/>
    <col min="9739" max="9739" width="5" customWidth="1"/>
    <col min="9985" max="9985" width="8.140625" bestFit="1" customWidth="1"/>
    <col min="9986" max="9986" width="11.5703125" bestFit="1" customWidth="1"/>
    <col min="9987" max="9987" width="7.140625" bestFit="1" customWidth="1"/>
    <col min="9988" max="9988" width="11.5703125" bestFit="1" customWidth="1"/>
    <col min="9989" max="9990" width="20.140625" bestFit="1" customWidth="1"/>
    <col min="9991" max="9991" width="11.5703125" bestFit="1" customWidth="1"/>
    <col min="9992" max="9992" width="20.140625" bestFit="1" customWidth="1"/>
    <col min="9993" max="9993" width="15.42578125" bestFit="1" customWidth="1"/>
    <col min="9994" max="9994" width="28.85546875" bestFit="1" customWidth="1"/>
    <col min="9995" max="9995" width="5" customWidth="1"/>
    <col min="10241" max="10241" width="8.140625" bestFit="1" customWidth="1"/>
    <col min="10242" max="10242" width="11.5703125" bestFit="1" customWidth="1"/>
    <col min="10243" max="10243" width="7.140625" bestFit="1" customWidth="1"/>
    <col min="10244" max="10244" width="11.5703125" bestFit="1" customWidth="1"/>
    <col min="10245" max="10246" width="20.140625" bestFit="1" customWidth="1"/>
    <col min="10247" max="10247" width="11.5703125" bestFit="1" customWidth="1"/>
    <col min="10248" max="10248" width="20.140625" bestFit="1" customWidth="1"/>
    <col min="10249" max="10249" width="15.42578125" bestFit="1" customWidth="1"/>
    <col min="10250" max="10250" width="28.85546875" bestFit="1" customWidth="1"/>
    <col min="10251" max="10251" width="5" customWidth="1"/>
    <col min="10497" max="10497" width="8.140625" bestFit="1" customWidth="1"/>
    <col min="10498" max="10498" width="11.5703125" bestFit="1" customWidth="1"/>
    <col min="10499" max="10499" width="7.140625" bestFit="1" customWidth="1"/>
    <col min="10500" max="10500" width="11.5703125" bestFit="1" customWidth="1"/>
    <col min="10501" max="10502" width="20.140625" bestFit="1" customWidth="1"/>
    <col min="10503" max="10503" width="11.5703125" bestFit="1" customWidth="1"/>
    <col min="10504" max="10504" width="20.140625" bestFit="1" customWidth="1"/>
    <col min="10505" max="10505" width="15.42578125" bestFit="1" customWidth="1"/>
    <col min="10506" max="10506" width="28.85546875" bestFit="1" customWidth="1"/>
    <col min="10507" max="10507" width="5" customWidth="1"/>
    <col min="10753" max="10753" width="8.140625" bestFit="1" customWidth="1"/>
    <col min="10754" max="10754" width="11.5703125" bestFit="1" customWidth="1"/>
    <col min="10755" max="10755" width="7.140625" bestFit="1" customWidth="1"/>
    <col min="10756" max="10756" width="11.5703125" bestFit="1" customWidth="1"/>
    <col min="10757" max="10758" width="20.140625" bestFit="1" customWidth="1"/>
    <col min="10759" max="10759" width="11.5703125" bestFit="1" customWidth="1"/>
    <col min="10760" max="10760" width="20.140625" bestFit="1" customWidth="1"/>
    <col min="10761" max="10761" width="15.42578125" bestFit="1" customWidth="1"/>
    <col min="10762" max="10762" width="28.85546875" bestFit="1" customWidth="1"/>
    <col min="10763" max="10763" width="5" customWidth="1"/>
    <col min="11009" max="11009" width="8.140625" bestFit="1" customWidth="1"/>
    <col min="11010" max="11010" width="11.5703125" bestFit="1" customWidth="1"/>
    <col min="11011" max="11011" width="7.140625" bestFit="1" customWidth="1"/>
    <col min="11012" max="11012" width="11.5703125" bestFit="1" customWidth="1"/>
    <col min="11013" max="11014" width="20.140625" bestFit="1" customWidth="1"/>
    <col min="11015" max="11015" width="11.5703125" bestFit="1" customWidth="1"/>
    <col min="11016" max="11016" width="20.140625" bestFit="1" customWidth="1"/>
    <col min="11017" max="11017" width="15.42578125" bestFit="1" customWidth="1"/>
    <col min="11018" max="11018" width="28.85546875" bestFit="1" customWidth="1"/>
    <col min="11019" max="11019" width="5" customWidth="1"/>
    <col min="11265" max="11265" width="8.140625" bestFit="1" customWidth="1"/>
    <col min="11266" max="11266" width="11.5703125" bestFit="1" customWidth="1"/>
    <col min="11267" max="11267" width="7.140625" bestFit="1" customWidth="1"/>
    <col min="11268" max="11268" width="11.5703125" bestFit="1" customWidth="1"/>
    <col min="11269" max="11270" width="20.140625" bestFit="1" customWidth="1"/>
    <col min="11271" max="11271" width="11.5703125" bestFit="1" customWidth="1"/>
    <col min="11272" max="11272" width="20.140625" bestFit="1" customWidth="1"/>
    <col min="11273" max="11273" width="15.42578125" bestFit="1" customWidth="1"/>
    <col min="11274" max="11274" width="28.85546875" bestFit="1" customWidth="1"/>
    <col min="11275" max="11275" width="5" customWidth="1"/>
    <col min="11521" max="11521" width="8.140625" bestFit="1" customWidth="1"/>
    <col min="11522" max="11522" width="11.5703125" bestFit="1" customWidth="1"/>
    <col min="11523" max="11523" width="7.140625" bestFit="1" customWidth="1"/>
    <col min="11524" max="11524" width="11.5703125" bestFit="1" customWidth="1"/>
    <col min="11525" max="11526" width="20.140625" bestFit="1" customWidth="1"/>
    <col min="11527" max="11527" width="11.5703125" bestFit="1" customWidth="1"/>
    <col min="11528" max="11528" width="20.140625" bestFit="1" customWidth="1"/>
    <col min="11529" max="11529" width="15.42578125" bestFit="1" customWidth="1"/>
    <col min="11530" max="11530" width="28.85546875" bestFit="1" customWidth="1"/>
    <col min="11531" max="11531" width="5" customWidth="1"/>
    <col min="11777" max="11777" width="8.140625" bestFit="1" customWidth="1"/>
    <col min="11778" max="11778" width="11.5703125" bestFit="1" customWidth="1"/>
    <col min="11779" max="11779" width="7.140625" bestFit="1" customWidth="1"/>
    <col min="11780" max="11780" width="11.5703125" bestFit="1" customWidth="1"/>
    <col min="11781" max="11782" width="20.140625" bestFit="1" customWidth="1"/>
    <col min="11783" max="11783" width="11.5703125" bestFit="1" customWidth="1"/>
    <col min="11784" max="11784" width="20.140625" bestFit="1" customWidth="1"/>
    <col min="11785" max="11785" width="15.42578125" bestFit="1" customWidth="1"/>
    <col min="11786" max="11786" width="28.85546875" bestFit="1" customWidth="1"/>
    <col min="11787" max="11787" width="5" customWidth="1"/>
    <col min="12033" max="12033" width="8.140625" bestFit="1" customWidth="1"/>
    <col min="12034" max="12034" width="11.5703125" bestFit="1" customWidth="1"/>
    <col min="12035" max="12035" width="7.140625" bestFit="1" customWidth="1"/>
    <col min="12036" max="12036" width="11.5703125" bestFit="1" customWidth="1"/>
    <col min="12037" max="12038" width="20.140625" bestFit="1" customWidth="1"/>
    <col min="12039" max="12039" width="11.5703125" bestFit="1" customWidth="1"/>
    <col min="12040" max="12040" width="20.140625" bestFit="1" customWidth="1"/>
    <col min="12041" max="12041" width="15.42578125" bestFit="1" customWidth="1"/>
    <col min="12042" max="12042" width="28.85546875" bestFit="1" customWidth="1"/>
    <col min="12043" max="12043" width="5" customWidth="1"/>
    <col min="12289" max="12289" width="8.140625" bestFit="1" customWidth="1"/>
    <col min="12290" max="12290" width="11.5703125" bestFit="1" customWidth="1"/>
    <col min="12291" max="12291" width="7.140625" bestFit="1" customWidth="1"/>
    <col min="12292" max="12292" width="11.5703125" bestFit="1" customWidth="1"/>
    <col min="12293" max="12294" width="20.140625" bestFit="1" customWidth="1"/>
    <col min="12295" max="12295" width="11.5703125" bestFit="1" customWidth="1"/>
    <col min="12296" max="12296" width="20.140625" bestFit="1" customWidth="1"/>
    <col min="12297" max="12297" width="15.42578125" bestFit="1" customWidth="1"/>
    <col min="12298" max="12298" width="28.85546875" bestFit="1" customWidth="1"/>
    <col min="12299" max="12299" width="5" customWidth="1"/>
    <col min="12545" max="12545" width="8.140625" bestFit="1" customWidth="1"/>
    <col min="12546" max="12546" width="11.5703125" bestFit="1" customWidth="1"/>
    <col min="12547" max="12547" width="7.140625" bestFit="1" customWidth="1"/>
    <col min="12548" max="12548" width="11.5703125" bestFit="1" customWidth="1"/>
    <col min="12549" max="12550" width="20.140625" bestFit="1" customWidth="1"/>
    <col min="12551" max="12551" width="11.5703125" bestFit="1" customWidth="1"/>
    <col min="12552" max="12552" width="20.140625" bestFit="1" customWidth="1"/>
    <col min="12553" max="12553" width="15.42578125" bestFit="1" customWidth="1"/>
    <col min="12554" max="12554" width="28.85546875" bestFit="1" customWidth="1"/>
    <col min="12555" max="12555" width="5" customWidth="1"/>
    <col min="12801" max="12801" width="8.140625" bestFit="1" customWidth="1"/>
    <col min="12802" max="12802" width="11.5703125" bestFit="1" customWidth="1"/>
    <col min="12803" max="12803" width="7.140625" bestFit="1" customWidth="1"/>
    <col min="12804" max="12804" width="11.5703125" bestFit="1" customWidth="1"/>
    <col min="12805" max="12806" width="20.140625" bestFit="1" customWidth="1"/>
    <col min="12807" max="12807" width="11.5703125" bestFit="1" customWidth="1"/>
    <col min="12808" max="12808" width="20.140625" bestFit="1" customWidth="1"/>
    <col min="12809" max="12809" width="15.42578125" bestFit="1" customWidth="1"/>
    <col min="12810" max="12810" width="28.85546875" bestFit="1" customWidth="1"/>
    <col min="12811" max="12811" width="5" customWidth="1"/>
    <col min="13057" max="13057" width="8.140625" bestFit="1" customWidth="1"/>
    <col min="13058" max="13058" width="11.5703125" bestFit="1" customWidth="1"/>
    <col min="13059" max="13059" width="7.140625" bestFit="1" customWidth="1"/>
    <col min="13060" max="13060" width="11.5703125" bestFit="1" customWidth="1"/>
    <col min="13061" max="13062" width="20.140625" bestFit="1" customWidth="1"/>
    <col min="13063" max="13063" width="11.5703125" bestFit="1" customWidth="1"/>
    <col min="13064" max="13064" width="20.140625" bestFit="1" customWidth="1"/>
    <col min="13065" max="13065" width="15.42578125" bestFit="1" customWidth="1"/>
    <col min="13066" max="13066" width="28.85546875" bestFit="1" customWidth="1"/>
    <col min="13067" max="13067" width="5" customWidth="1"/>
    <col min="13313" max="13313" width="8.140625" bestFit="1" customWidth="1"/>
    <col min="13314" max="13314" width="11.5703125" bestFit="1" customWidth="1"/>
    <col min="13315" max="13315" width="7.140625" bestFit="1" customWidth="1"/>
    <col min="13316" max="13316" width="11.5703125" bestFit="1" customWidth="1"/>
    <col min="13317" max="13318" width="20.140625" bestFit="1" customWidth="1"/>
    <col min="13319" max="13319" width="11.5703125" bestFit="1" customWidth="1"/>
    <col min="13320" max="13320" width="20.140625" bestFit="1" customWidth="1"/>
    <col min="13321" max="13321" width="15.42578125" bestFit="1" customWidth="1"/>
    <col min="13322" max="13322" width="28.85546875" bestFit="1" customWidth="1"/>
    <col min="13323" max="13323" width="5" customWidth="1"/>
    <col min="13569" max="13569" width="8.140625" bestFit="1" customWidth="1"/>
    <col min="13570" max="13570" width="11.5703125" bestFit="1" customWidth="1"/>
    <col min="13571" max="13571" width="7.140625" bestFit="1" customWidth="1"/>
    <col min="13572" max="13572" width="11.5703125" bestFit="1" customWidth="1"/>
    <col min="13573" max="13574" width="20.140625" bestFit="1" customWidth="1"/>
    <col min="13575" max="13575" width="11.5703125" bestFit="1" customWidth="1"/>
    <col min="13576" max="13576" width="20.140625" bestFit="1" customWidth="1"/>
    <col min="13577" max="13577" width="15.42578125" bestFit="1" customWidth="1"/>
    <col min="13578" max="13578" width="28.85546875" bestFit="1" customWidth="1"/>
    <col min="13579" max="13579" width="5" customWidth="1"/>
    <col min="13825" max="13825" width="8.140625" bestFit="1" customWidth="1"/>
    <col min="13826" max="13826" width="11.5703125" bestFit="1" customWidth="1"/>
    <col min="13827" max="13827" width="7.140625" bestFit="1" customWidth="1"/>
    <col min="13828" max="13828" width="11.5703125" bestFit="1" customWidth="1"/>
    <col min="13829" max="13830" width="20.140625" bestFit="1" customWidth="1"/>
    <col min="13831" max="13831" width="11.5703125" bestFit="1" customWidth="1"/>
    <col min="13832" max="13832" width="20.140625" bestFit="1" customWidth="1"/>
    <col min="13833" max="13833" width="15.42578125" bestFit="1" customWidth="1"/>
    <col min="13834" max="13834" width="28.85546875" bestFit="1" customWidth="1"/>
    <col min="13835" max="13835" width="5" customWidth="1"/>
    <col min="14081" max="14081" width="8.140625" bestFit="1" customWidth="1"/>
    <col min="14082" max="14082" width="11.5703125" bestFit="1" customWidth="1"/>
    <col min="14083" max="14083" width="7.140625" bestFit="1" customWidth="1"/>
    <col min="14084" max="14084" width="11.5703125" bestFit="1" customWidth="1"/>
    <col min="14085" max="14086" width="20.140625" bestFit="1" customWidth="1"/>
    <col min="14087" max="14087" width="11.5703125" bestFit="1" customWidth="1"/>
    <col min="14088" max="14088" width="20.140625" bestFit="1" customWidth="1"/>
    <col min="14089" max="14089" width="15.42578125" bestFit="1" customWidth="1"/>
    <col min="14090" max="14090" width="28.85546875" bestFit="1" customWidth="1"/>
    <col min="14091" max="14091" width="5" customWidth="1"/>
    <col min="14337" max="14337" width="8.140625" bestFit="1" customWidth="1"/>
    <col min="14338" max="14338" width="11.5703125" bestFit="1" customWidth="1"/>
    <col min="14339" max="14339" width="7.140625" bestFit="1" customWidth="1"/>
    <col min="14340" max="14340" width="11.5703125" bestFit="1" customWidth="1"/>
    <col min="14341" max="14342" width="20.140625" bestFit="1" customWidth="1"/>
    <col min="14343" max="14343" width="11.5703125" bestFit="1" customWidth="1"/>
    <col min="14344" max="14344" width="20.140625" bestFit="1" customWidth="1"/>
    <col min="14345" max="14345" width="15.42578125" bestFit="1" customWidth="1"/>
    <col min="14346" max="14346" width="28.85546875" bestFit="1" customWidth="1"/>
    <col min="14347" max="14347" width="5" customWidth="1"/>
    <col min="14593" max="14593" width="8.140625" bestFit="1" customWidth="1"/>
    <col min="14594" max="14594" width="11.5703125" bestFit="1" customWidth="1"/>
    <col min="14595" max="14595" width="7.140625" bestFit="1" customWidth="1"/>
    <col min="14596" max="14596" width="11.5703125" bestFit="1" customWidth="1"/>
    <col min="14597" max="14598" width="20.140625" bestFit="1" customWidth="1"/>
    <col min="14599" max="14599" width="11.5703125" bestFit="1" customWidth="1"/>
    <col min="14600" max="14600" width="20.140625" bestFit="1" customWidth="1"/>
    <col min="14601" max="14601" width="15.42578125" bestFit="1" customWidth="1"/>
    <col min="14602" max="14602" width="28.85546875" bestFit="1" customWidth="1"/>
    <col min="14603" max="14603" width="5" customWidth="1"/>
    <col min="14849" max="14849" width="8.140625" bestFit="1" customWidth="1"/>
    <col min="14850" max="14850" width="11.5703125" bestFit="1" customWidth="1"/>
    <col min="14851" max="14851" width="7.140625" bestFit="1" customWidth="1"/>
    <col min="14852" max="14852" width="11.5703125" bestFit="1" customWidth="1"/>
    <col min="14853" max="14854" width="20.140625" bestFit="1" customWidth="1"/>
    <col min="14855" max="14855" width="11.5703125" bestFit="1" customWidth="1"/>
    <col min="14856" max="14856" width="20.140625" bestFit="1" customWidth="1"/>
    <col min="14857" max="14857" width="15.42578125" bestFit="1" customWidth="1"/>
    <col min="14858" max="14858" width="28.85546875" bestFit="1" customWidth="1"/>
    <col min="14859" max="14859" width="5" customWidth="1"/>
    <col min="15105" max="15105" width="8.140625" bestFit="1" customWidth="1"/>
    <col min="15106" max="15106" width="11.5703125" bestFit="1" customWidth="1"/>
    <col min="15107" max="15107" width="7.140625" bestFit="1" customWidth="1"/>
    <col min="15108" max="15108" width="11.5703125" bestFit="1" customWidth="1"/>
    <col min="15109" max="15110" width="20.140625" bestFit="1" customWidth="1"/>
    <col min="15111" max="15111" width="11.5703125" bestFit="1" customWidth="1"/>
    <col min="15112" max="15112" width="20.140625" bestFit="1" customWidth="1"/>
    <col min="15113" max="15113" width="15.42578125" bestFit="1" customWidth="1"/>
    <col min="15114" max="15114" width="28.85546875" bestFit="1" customWidth="1"/>
    <col min="15115" max="15115" width="5" customWidth="1"/>
    <col min="15361" max="15361" width="8.140625" bestFit="1" customWidth="1"/>
    <col min="15362" max="15362" width="11.5703125" bestFit="1" customWidth="1"/>
    <col min="15363" max="15363" width="7.140625" bestFit="1" customWidth="1"/>
    <col min="15364" max="15364" width="11.5703125" bestFit="1" customWidth="1"/>
    <col min="15365" max="15366" width="20.140625" bestFit="1" customWidth="1"/>
    <col min="15367" max="15367" width="11.5703125" bestFit="1" customWidth="1"/>
    <col min="15368" max="15368" width="20.140625" bestFit="1" customWidth="1"/>
    <col min="15369" max="15369" width="15.42578125" bestFit="1" customWidth="1"/>
    <col min="15370" max="15370" width="28.85546875" bestFit="1" customWidth="1"/>
    <col min="15371" max="15371" width="5" customWidth="1"/>
    <col min="15617" max="15617" width="8.140625" bestFit="1" customWidth="1"/>
    <col min="15618" max="15618" width="11.5703125" bestFit="1" customWidth="1"/>
    <col min="15619" max="15619" width="7.140625" bestFit="1" customWidth="1"/>
    <col min="15620" max="15620" width="11.5703125" bestFit="1" customWidth="1"/>
    <col min="15621" max="15622" width="20.140625" bestFit="1" customWidth="1"/>
    <col min="15623" max="15623" width="11.5703125" bestFit="1" customWidth="1"/>
    <col min="15624" max="15624" width="20.140625" bestFit="1" customWidth="1"/>
    <col min="15625" max="15625" width="15.42578125" bestFit="1" customWidth="1"/>
    <col min="15626" max="15626" width="28.85546875" bestFit="1" customWidth="1"/>
    <col min="15627" max="15627" width="5" customWidth="1"/>
    <col min="15873" max="15873" width="8.140625" bestFit="1" customWidth="1"/>
    <col min="15874" max="15874" width="11.5703125" bestFit="1" customWidth="1"/>
    <col min="15875" max="15875" width="7.140625" bestFit="1" customWidth="1"/>
    <col min="15876" max="15876" width="11.5703125" bestFit="1" customWidth="1"/>
    <col min="15877" max="15878" width="20.140625" bestFit="1" customWidth="1"/>
    <col min="15879" max="15879" width="11.5703125" bestFit="1" customWidth="1"/>
    <col min="15880" max="15880" width="20.140625" bestFit="1" customWidth="1"/>
    <col min="15881" max="15881" width="15.42578125" bestFit="1" customWidth="1"/>
    <col min="15882" max="15882" width="28.85546875" bestFit="1" customWidth="1"/>
    <col min="15883" max="15883" width="5" customWidth="1"/>
    <col min="16129" max="16129" width="8.140625" bestFit="1" customWidth="1"/>
    <col min="16130" max="16130" width="11.5703125" bestFit="1" customWidth="1"/>
    <col min="16131" max="16131" width="7.140625" bestFit="1" customWidth="1"/>
    <col min="16132" max="16132" width="11.5703125" bestFit="1" customWidth="1"/>
    <col min="16133" max="16134" width="20.140625" bestFit="1" customWidth="1"/>
    <col min="16135" max="16135" width="11.5703125" bestFit="1" customWidth="1"/>
    <col min="16136" max="16136" width="20.140625" bestFit="1" customWidth="1"/>
    <col min="16137" max="16137" width="15.42578125" bestFit="1" customWidth="1"/>
    <col min="16138" max="16138" width="28.85546875" bestFit="1" customWidth="1"/>
    <col min="16139" max="16139" width="5" customWidth="1"/>
  </cols>
  <sheetData>
    <row r="1" spans="2:11" ht="15.75" x14ac:dyDescent="0.25">
      <c r="B1" s="10"/>
      <c r="C1" s="66" t="s">
        <v>47</v>
      </c>
      <c r="D1" s="66">
        <f>MAX(C:C)</f>
        <v>46174</v>
      </c>
      <c r="E1" s="67"/>
      <c r="F1" s="108">
        <v>1</v>
      </c>
      <c r="G1" s="108">
        <v>2</v>
      </c>
      <c r="H1" s="108">
        <v>3</v>
      </c>
      <c r="I1" s="108">
        <v>4</v>
      </c>
      <c r="J1" s="65"/>
      <c r="K1" s="59"/>
    </row>
    <row r="2" spans="2:11" ht="15" x14ac:dyDescent="0.25">
      <c r="B2" s="118" t="s">
        <v>55</v>
      </c>
      <c r="C2" s="119" t="s">
        <v>48</v>
      </c>
      <c r="D2" s="119" t="s">
        <v>49</v>
      </c>
      <c r="E2" s="119" t="s">
        <v>50</v>
      </c>
      <c r="F2" s="120" t="s">
        <v>37</v>
      </c>
      <c r="G2" s="120" t="s">
        <v>58</v>
      </c>
      <c r="H2" s="120" t="s">
        <v>38</v>
      </c>
      <c r="I2" s="120" t="s">
        <v>51</v>
      </c>
      <c r="J2" s="62"/>
      <c r="K2" s="60"/>
    </row>
    <row r="3" spans="2:11" ht="15" x14ac:dyDescent="0.25">
      <c r="B3" s="117">
        <v>34486</v>
      </c>
      <c r="C3" s="117">
        <v>34516</v>
      </c>
      <c r="D3" s="116">
        <f t="shared" ref="D3:D66" si="0">VLOOKUP(C3,C:I,IF(índice_cm=1,4,IF(índice_cm=2,5,IF(índice_cm=3,6,7))),0)</f>
        <v>9.0978716941192399</v>
      </c>
      <c r="E3" s="116"/>
      <c r="F3" s="115">
        <v>3.1086296648093295</v>
      </c>
      <c r="G3" s="115">
        <v>6.8921703049769958</v>
      </c>
      <c r="H3" s="115">
        <v>9.0978716941192399</v>
      </c>
      <c r="I3" s="115">
        <v>5.7031999999999989</v>
      </c>
      <c r="J3" s="63"/>
      <c r="K3" s="60"/>
    </row>
    <row r="4" spans="2:11" ht="15" x14ac:dyDescent="0.25">
      <c r="B4" s="117">
        <v>34516</v>
      </c>
      <c r="C4" s="117">
        <v>34547</v>
      </c>
      <c r="D4" s="116">
        <f t="shared" si="0"/>
        <v>8.6473450186476946</v>
      </c>
      <c r="E4" s="116"/>
      <c r="F4" s="115">
        <v>2.9597540367602861</v>
      </c>
      <c r="G4" s="115">
        <v>6.5620968342159323</v>
      </c>
      <c r="H4" s="115">
        <v>8.6473450186476946</v>
      </c>
      <c r="I4" s="115">
        <v>5.6344999999999992</v>
      </c>
      <c r="J4" s="63"/>
      <c r="K4" s="60"/>
    </row>
    <row r="5" spans="2:11" ht="15" x14ac:dyDescent="0.25">
      <c r="B5" s="117">
        <v>34547</v>
      </c>
      <c r="C5" s="117">
        <v>34578</v>
      </c>
      <c r="D5" s="116">
        <f t="shared" si="0"/>
        <v>8.2355666844263755</v>
      </c>
      <c r="E5" s="116"/>
      <c r="F5" s="115">
        <v>2.8980260812300864</v>
      </c>
      <c r="G5" s="115">
        <v>6.4252392384372223</v>
      </c>
      <c r="H5" s="115">
        <v>8.2355666844263755</v>
      </c>
      <c r="I5" s="115">
        <v>5.5927999999999978</v>
      </c>
      <c r="J5" s="63"/>
      <c r="K5" s="60"/>
    </row>
    <row r="6" spans="2:11" ht="15" x14ac:dyDescent="0.25">
      <c r="B6" s="117">
        <v>34578</v>
      </c>
      <c r="C6" s="117">
        <v>34608</v>
      </c>
      <c r="D6" s="116">
        <f t="shared" si="0"/>
        <v>8.1034799610610797</v>
      </c>
      <c r="E6" s="116"/>
      <c r="F6" s="115">
        <v>2.828998517405398</v>
      </c>
      <c r="G6" s="115">
        <v>6.2721976165923756</v>
      </c>
      <c r="H6" s="115">
        <v>8.1034799610610797</v>
      </c>
      <c r="I6" s="115">
        <v>5.5544999999999991</v>
      </c>
      <c r="J6" s="63"/>
      <c r="K6" s="60"/>
    </row>
    <row r="7" spans="2:11" ht="15" x14ac:dyDescent="0.25">
      <c r="B7" s="117">
        <v>34608</v>
      </c>
      <c r="C7" s="117">
        <v>34639</v>
      </c>
      <c r="D7" s="116">
        <f t="shared" si="0"/>
        <v>7.9523846526605295</v>
      </c>
      <c r="E7" s="116"/>
      <c r="F7" s="115">
        <v>2.758383889825859</v>
      </c>
      <c r="G7" s="115">
        <v>6.1156373016696399</v>
      </c>
      <c r="H7" s="115">
        <v>7.9523846526605295</v>
      </c>
      <c r="I7" s="115">
        <v>5.5182999999999991</v>
      </c>
      <c r="J7" s="63"/>
      <c r="K7" s="60"/>
    </row>
    <row r="8" spans="2:11" ht="15" x14ac:dyDescent="0.25">
      <c r="B8" s="117">
        <v>34639</v>
      </c>
      <c r="C8" s="117">
        <v>34669</v>
      </c>
      <c r="D8" s="116">
        <f t="shared" si="0"/>
        <v>7.7245115615935198</v>
      </c>
      <c r="E8" s="116"/>
      <c r="F8" s="115">
        <v>2.6801242613931731</v>
      </c>
      <c r="G8" s="115">
        <v>5.9421271877862694</v>
      </c>
      <c r="H8" s="115">
        <v>7.7245115615935198</v>
      </c>
      <c r="I8" s="115">
        <v>5.4775999999999998</v>
      </c>
      <c r="J8" s="63"/>
      <c r="K8" s="60"/>
    </row>
    <row r="9" spans="2:11" ht="15" x14ac:dyDescent="0.25">
      <c r="B9" s="117">
        <v>34669</v>
      </c>
      <c r="C9" s="117">
        <v>34700</v>
      </c>
      <c r="D9" s="116">
        <f t="shared" si="0"/>
        <v>7.5545345345657902</v>
      </c>
      <c r="E9" s="116"/>
      <c r="F9" s="115">
        <v>2.605350696406314</v>
      </c>
      <c r="G9" s="115">
        <v>5.7763460559796576</v>
      </c>
      <c r="H9" s="115">
        <v>7.5545345345657902</v>
      </c>
      <c r="I9" s="115">
        <v>5.4395999999999995</v>
      </c>
      <c r="J9" s="63"/>
      <c r="K9" s="60"/>
    </row>
    <row r="10" spans="2:11" ht="15" x14ac:dyDescent="0.25">
      <c r="B10" s="117">
        <v>34700</v>
      </c>
      <c r="C10" s="117">
        <v>34731</v>
      </c>
      <c r="D10" s="116">
        <f t="shared" si="0"/>
        <v>7.4224155379895755</v>
      </c>
      <c r="E10" s="116"/>
      <c r="F10" s="115">
        <v>2.5517636595556437</v>
      </c>
      <c r="G10" s="115">
        <v>5.6575377629575456</v>
      </c>
      <c r="H10" s="115">
        <v>7.4224155379895755</v>
      </c>
      <c r="I10" s="115">
        <v>5.4058999999999999</v>
      </c>
      <c r="J10" s="63"/>
      <c r="K10" s="60"/>
    </row>
    <row r="11" spans="2:11" ht="15" x14ac:dyDescent="0.25">
      <c r="B11" s="117">
        <v>34731</v>
      </c>
      <c r="C11" s="117">
        <v>34759</v>
      </c>
      <c r="D11" s="116">
        <f t="shared" si="0"/>
        <v>7.332953505225821</v>
      </c>
      <c r="E11" s="116"/>
      <c r="F11" s="115">
        <v>2.5054135096275378</v>
      </c>
      <c r="G11" s="115">
        <v>5.5547744358935232</v>
      </c>
      <c r="H11" s="115">
        <v>7.332953505225821</v>
      </c>
      <c r="I11" s="115">
        <v>5.3734000000000002</v>
      </c>
      <c r="J11" s="63"/>
      <c r="K11" s="60"/>
    </row>
    <row r="12" spans="2:11" ht="15" x14ac:dyDescent="0.25">
      <c r="B12" s="117">
        <v>34759</v>
      </c>
      <c r="C12" s="117">
        <v>34790</v>
      </c>
      <c r="D12" s="116">
        <f t="shared" si="0"/>
        <v>7.2402779474978489</v>
      </c>
      <c r="E12" s="116"/>
      <c r="F12" s="115">
        <v>2.4490845646407964</v>
      </c>
      <c r="G12" s="115">
        <v>5.429887034109008</v>
      </c>
      <c r="H12" s="115">
        <v>7.2402779474978489</v>
      </c>
      <c r="I12" s="115">
        <v>5.3308</v>
      </c>
      <c r="J12" s="63"/>
      <c r="K12" s="60"/>
    </row>
    <row r="13" spans="2:11" ht="15" x14ac:dyDescent="0.25">
      <c r="B13" s="117">
        <v>34790</v>
      </c>
      <c r="C13" s="117">
        <v>34820</v>
      </c>
      <c r="D13" s="116">
        <f t="shared" si="0"/>
        <v>7.1017929843039216</v>
      </c>
      <c r="E13" s="116"/>
      <c r="F13" s="115">
        <v>2.3669513527020372</v>
      </c>
      <c r="G13" s="115">
        <v>5.2477887639982717</v>
      </c>
      <c r="H13" s="115">
        <v>7.1017929843039216</v>
      </c>
      <c r="I13" s="115">
        <v>5.2882000000000007</v>
      </c>
      <c r="J13" s="63"/>
      <c r="K13" s="60"/>
    </row>
    <row r="14" spans="2:11" ht="15" x14ac:dyDescent="0.25">
      <c r="B14" s="117">
        <v>34820</v>
      </c>
      <c r="C14" s="117">
        <v>34851</v>
      </c>
      <c r="D14" s="116">
        <f t="shared" si="0"/>
        <v>6.910375580718032</v>
      </c>
      <c r="E14" s="116"/>
      <c r="F14" s="115">
        <v>2.292446830704149</v>
      </c>
      <c r="G14" s="115">
        <v>5.0826041297804014</v>
      </c>
      <c r="H14" s="115">
        <v>6.910375580718032</v>
      </c>
      <c r="I14" s="115">
        <v>5.2457000000000011</v>
      </c>
      <c r="J14" s="63"/>
      <c r="K14" s="60"/>
    </row>
    <row r="15" spans="2:11" ht="15" x14ac:dyDescent="0.25">
      <c r="B15" s="117">
        <v>34851</v>
      </c>
      <c r="C15" s="117">
        <v>34881</v>
      </c>
      <c r="D15" s="116">
        <f t="shared" si="0"/>
        <v>6.7583135263746037</v>
      </c>
      <c r="E15" s="116"/>
      <c r="F15" s="115">
        <v>2.2280560119585511</v>
      </c>
      <c r="G15" s="115">
        <v>4.9398426764315388</v>
      </c>
      <c r="H15" s="115">
        <v>6.7583135263746037</v>
      </c>
      <c r="I15" s="115">
        <v>5.2053000000000003</v>
      </c>
      <c r="J15" s="63"/>
      <c r="K15" s="60"/>
    </row>
    <row r="16" spans="2:11" ht="15" x14ac:dyDescent="0.25">
      <c r="B16" s="117">
        <v>34881</v>
      </c>
      <c r="C16" s="117">
        <v>34912</v>
      </c>
      <c r="D16" s="116">
        <f t="shared" si="0"/>
        <v>6.5876922959105206</v>
      </c>
      <c r="E16" s="116"/>
      <c r="F16" s="115">
        <v>2.1633712126988534</v>
      </c>
      <c r="G16" s="115">
        <v>4.7964294362865667</v>
      </c>
      <c r="H16" s="115">
        <v>6.5876922959105206</v>
      </c>
      <c r="I16" s="115">
        <v>5.1651000000000007</v>
      </c>
      <c r="J16" s="63"/>
      <c r="K16" s="61"/>
    </row>
    <row r="17" spans="2:11" ht="15" x14ac:dyDescent="0.25">
      <c r="B17" s="117">
        <v>34912</v>
      </c>
      <c r="C17" s="117">
        <v>34943</v>
      </c>
      <c r="D17" s="116">
        <f t="shared" si="0"/>
        <v>6.4909767424480451</v>
      </c>
      <c r="E17" s="116"/>
      <c r="F17" s="115">
        <v>2.1085489402522897</v>
      </c>
      <c r="G17" s="115">
        <v>4.6748824915073657</v>
      </c>
      <c r="H17" s="115">
        <v>6.4909767424480451</v>
      </c>
      <c r="I17" s="115">
        <v>5.1267000000000005</v>
      </c>
      <c r="J17" s="63"/>
      <c r="K17" s="60"/>
    </row>
    <row r="18" spans="2:11" ht="15" x14ac:dyDescent="0.25">
      <c r="B18" s="117">
        <v>34943</v>
      </c>
      <c r="C18" s="117">
        <v>34973</v>
      </c>
      <c r="D18" s="116">
        <f t="shared" si="0"/>
        <v>6.428619136820882</v>
      </c>
      <c r="E18" s="116"/>
      <c r="F18" s="115">
        <v>2.06842156195045</v>
      </c>
      <c r="G18" s="115">
        <v>4.585915726414914</v>
      </c>
      <c r="H18" s="115">
        <v>6.428619136820882</v>
      </c>
      <c r="I18" s="115">
        <v>5.0935000000000006</v>
      </c>
      <c r="J18" s="63"/>
      <c r="K18" s="60"/>
    </row>
    <row r="19" spans="2:11" ht="15" x14ac:dyDescent="0.25">
      <c r="B19" s="117">
        <v>34973</v>
      </c>
      <c r="C19" s="117">
        <v>35004</v>
      </c>
      <c r="D19" s="116">
        <f t="shared" si="0"/>
        <v>6.3436146998429859</v>
      </c>
      <c r="E19" s="116"/>
      <c r="F19" s="115">
        <v>2.034846593163254</v>
      </c>
      <c r="G19" s="115">
        <v>4.5114763663698074</v>
      </c>
      <c r="H19" s="115">
        <v>6.3436146998429859</v>
      </c>
      <c r="I19" s="115">
        <v>5.0625999999999998</v>
      </c>
      <c r="J19" s="63"/>
      <c r="K19" s="60"/>
    </row>
    <row r="20" spans="2:11" ht="15" x14ac:dyDescent="0.25">
      <c r="B20" s="117">
        <v>35004</v>
      </c>
      <c r="C20" s="117">
        <v>35034</v>
      </c>
      <c r="D20" s="116">
        <f t="shared" si="0"/>
        <v>6.252330672031329</v>
      </c>
      <c r="E20" s="116"/>
      <c r="F20" s="115">
        <v>2.0059607582445316</v>
      </c>
      <c r="G20" s="115">
        <v>4.4474333264686559</v>
      </c>
      <c r="H20" s="115">
        <v>6.252330672031329</v>
      </c>
      <c r="I20" s="115">
        <v>5.0338000000000003</v>
      </c>
      <c r="J20" s="63"/>
      <c r="K20" s="60"/>
    </row>
    <row r="21" spans="2:11" ht="15" x14ac:dyDescent="0.25">
      <c r="B21" s="117">
        <v>35034</v>
      </c>
      <c r="C21" s="117">
        <v>35065</v>
      </c>
      <c r="D21" s="116">
        <f t="shared" si="0"/>
        <v>6.168439889533671</v>
      </c>
      <c r="E21" s="116"/>
      <c r="F21" s="115">
        <v>1.9794363116681819</v>
      </c>
      <c r="G21" s="115">
        <v>4.3886257415321346</v>
      </c>
      <c r="H21" s="115">
        <v>6.168439889533671</v>
      </c>
      <c r="I21" s="115">
        <v>5.0060000000000002</v>
      </c>
      <c r="J21" s="63"/>
      <c r="K21" s="60"/>
    </row>
    <row r="22" spans="2:11" ht="15" x14ac:dyDescent="0.25">
      <c r="B22" s="117">
        <v>35065</v>
      </c>
      <c r="C22" s="117">
        <v>35096</v>
      </c>
      <c r="D22" s="116">
        <f t="shared" si="0"/>
        <v>6.0695069266296082</v>
      </c>
      <c r="E22" s="116"/>
      <c r="F22" s="115">
        <v>1.9549988263389493</v>
      </c>
      <c r="G22" s="115">
        <v>4.3344451768218706</v>
      </c>
      <c r="H22" s="115">
        <v>6.0695069266296082</v>
      </c>
      <c r="I22" s="115">
        <v>4.9802</v>
      </c>
      <c r="J22" s="63"/>
      <c r="K22" s="60"/>
    </row>
    <row r="23" spans="2:11" ht="15" x14ac:dyDescent="0.25">
      <c r="B23" s="117">
        <v>35096</v>
      </c>
      <c r="C23" s="117">
        <v>35125</v>
      </c>
      <c r="D23" s="116">
        <f t="shared" si="0"/>
        <v>5.9975364887644353</v>
      </c>
      <c r="E23" s="116"/>
      <c r="F23" s="115">
        <v>1.9364092970869153</v>
      </c>
      <c r="G23" s="115">
        <v>4.293230167216592</v>
      </c>
      <c r="H23" s="115">
        <v>5.9975364887644353</v>
      </c>
      <c r="I23" s="115">
        <v>4.9566999999999997</v>
      </c>
      <c r="J23" s="63"/>
      <c r="K23" s="60"/>
    </row>
    <row r="24" spans="2:11" ht="15" x14ac:dyDescent="0.25">
      <c r="B24" s="117">
        <v>35125</v>
      </c>
      <c r="C24" s="117">
        <v>35156</v>
      </c>
      <c r="D24" s="116">
        <f t="shared" si="0"/>
        <v>5.9605808872634025</v>
      </c>
      <c r="E24" s="116"/>
      <c r="F24" s="115">
        <v>1.9208504087758349</v>
      </c>
      <c r="G24" s="115">
        <v>4.2587344184273395</v>
      </c>
      <c r="H24" s="115">
        <v>5.9605808872634025</v>
      </c>
      <c r="I24" s="115">
        <v>4.9344999999999999</v>
      </c>
      <c r="J24" s="63"/>
      <c r="K24" s="60"/>
    </row>
    <row r="25" spans="2:11" ht="15" x14ac:dyDescent="0.25">
      <c r="B25" s="117">
        <v>35156</v>
      </c>
      <c r="C25" s="117">
        <v>35186</v>
      </c>
      <c r="D25" s="116">
        <f t="shared" si="0"/>
        <v>5.9191468592486629</v>
      </c>
      <c r="E25" s="116"/>
      <c r="F25" s="115">
        <v>1.9082559197057731</v>
      </c>
      <c r="G25" s="115">
        <v>4.2308110653957192</v>
      </c>
      <c r="H25" s="115">
        <v>5.9191468592486629</v>
      </c>
      <c r="I25" s="115">
        <v>4.9138000000000002</v>
      </c>
      <c r="J25" s="63"/>
      <c r="K25" s="60"/>
    </row>
    <row r="26" spans="2:11" ht="15" x14ac:dyDescent="0.25">
      <c r="B26" s="117">
        <v>35186</v>
      </c>
      <c r="C26" s="117">
        <v>35217</v>
      </c>
      <c r="D26" s="116">
        <f t="shared" si="0"/>
        <v>5.8420320363685967</v>
      </c>
      <c r="E26" s="116"/>
      <c r="F26" s="115">
        <v>1.897063246551121</v>
      </c>
      <c r="G26" s="115">
        <v>4.205995690819881</v>
      </c>
      <c r="H26" s="115">
        <v>5.8420320363685967</v>
      </c>
      <c r="I26" s="115">
        <v>4.8936999999999991</v>
      </c>
      <c r="J26" s="63"/>
      <c r="K26" s="60"/>
    </row>
    <row r="27" spans="2:11" ht="15" x14ac:dyDescent="0.25">
      <c r="B27" s="117">
        <v>35217</v>
      </c>
      <c r="C27" s="117">
        <v>35247</v>
      </c>
      <c r="D27" s="116">
        <f t="shared" si="0"/>
        <v>5.7778973755005403</v>
      </c>
      <c r="E27" s="116"/>
      <c r="F27" s="115">
        <v>1.8855613224839687</v>
      </c>
      <c r="G27" s="115">
        <v>4.1804946733126735</v>
      </c>
      <c r="H27" s="115">
        <v>5.7778973755005403</v>
      </c>
      <c r="I27" s="115">
        <v>4.873899999999999</v>
      </c>
      <c r="J27" s="63"/>
      <c r="K27" s="60"/>
    </row>
    <row r="28" spans="2:11" ht="15" x14ac:dyDescent="0.25">
      <c r="B28" s="117">
        <v>35247</v>
      </c>
      <c r="C28" s="117">
        <v>35278</v>
      </c>
      <c r="D28" s="116">
        <f t="shared" si="0"/>
        <v>5.6998099787911016</v>
      </c>
      <c r="E28" s="116"/>
      <c r="F28" s="115">
        <v>1.8745017620876543</v>
      </c>
      <c r="G28" s="115">
        <v>4.1559744242098411</v>
      </c>
      <c r="H28" s="115">
        <v>5.6998099787911016</v>
      </c>
      <c r="I28" s="115">
        <v>4.8545999999999996</v>
      </c>
      <c r="J28" s="63"/>
      <c r="K28" s="60"/>
    </row>
    <row r="29" spans="2:11" ht="15" x14ac:dyDescent="0.25">
      <c r="B29" s="117">
        <v>35278</v>
      </c>
      <c r="C29" s="117">
        <v>35309</v>
      </c>
      <c r="D29" s="116">
        <f t="shared" si="0"/>
        <v>5.6601886581838157</v>
      </c>
      <c r="E29" s="116"/>
      <c r="F29" s="115">
        <v>1.8627663341823031</v>
      </c>
      <c r="G29" s="115">
        <v>4.129955703279176</v>
      </c>
      <c r="H29" s="115">
        <v>5.6601886581838157</v>
      </c>
      <c r="I29" s="115">
        <v>4.8348999999999993</v>
      </c>
      <c r="J29" s="63"/>
      <c r="K29" s="60"/>
    </row>
    <row r="30" spans="2:11" ht="15" x14ac:dyDescent="0.25">
      <c r="B30" s="117">
        <v>35309</v>
      </c>
      <c r="C30" s="117">
        <v>35339</v>
      </c>
      <c r="D30" s="116">
        <f t="shared" si="0"/>
        <v>5.6539692919626559</v>
      </c>
      <c r="E30" s="116"/>
      <c r="F30" s="115">
        <v>1.8505526864517243</v>
      </c>
      <c r="G30" s="115">
        <v>4.1028767169473301</v>
      </c>
      <c r="H30" s="115">
        <v>5.6539692919626559</v>
      </c>
      <c r="I30" s="115">
        <v>4.8158999999999992</v>
      </c>
      <c r="J30" s="63"/>
      <c r="K30" s="60"/>
    </row>
    <row r="31" spans="2:11" ht="15" x14ac:dyDescent="0.25">
      <c r="B31" s="117">
        <v>35339</v>
      </c>
      <c r="C31" s="117">
        <v>35370</v>
      </c>
      <c r="D31" s="116">
        <f t="shared" si="0"/>
        <v>5.646064801240918</v>
      </c>
      <c r="E31" s="116"/>
      <c r="F31" s="115">
        <v>1.8369591884571443</v>
      </c>
      <c r="G31" s="115">
        <v>4.0727384523995793</v>
      </c>
      <c r="H31" s="115">
        <v>5.646064801240918</v>
      </c>
      <c r="I31" s="115">
        <v>4.7972999999999981</v>
      </c>
      <c r="J31" s="63"/>
      <c r="K31" s="60"/>
    </row>
    <row r="32" spans="2:11" ht="15" x14ac:dyDescent="0.25">
      <c r="B32" s="117">
        <v>35370</v>
      </c>
      <c r="C32" s="117">
        <v>35400</v>
      </c>
      <c r="D32" s="116">
        <f t="shared" si="0"/>
        <v>5.6230104583616356</v>
      </c>
      <c r="E32" s="116"/>
      <c r="F32" s="115">
        <v>1.8221993735315378</v>
      </c>
      <c r="G32" s="115">
        <v>4.0400143362757435</v>
      </c>
      <c r="H32" s="115">
        <v>5.6230104583616356</v>
      </c>
      <c r="I32" s="115">
        <v>4.7792999999999992</v>
      </c>
      <c r="J32" s="63"/>
      <c r="K32" s="60"/>
    </row>
    <row r="33" spans="2:11" ht="15" x14ac:dyDescent="0.25">
      <c r="B33" s="117">
        <v>35400</v>
      </c>
      <c r="C33" s="117">
        <v>35431</v>
      </c>
      <c r="D33" s="116">
        <f t="shared" si="0"/>
        <v>5.6117868845924503</v>
      </c>
      <c r="E33" s="116"/>
      <c r="F33" s="115">
        <v>1.8064829716779365</v>
      </c>
      <c r="G33" s="115">
        <v>4.0051693628192089</v>
      </c>
      <c r="H33" s="115">
        <v>5.6117868845924503</v>
      </c>
      <c r="I33" s="115">
        <v>4.7612999999999985</v>
      </c>
      <c r="J33" s="63"/>
      <c r="K33" s="60"/>
    </row>
    <row r="34" spans="2:11" ht="15" x14ac:dyDescent="0.25">
      <c r="B34" s="117">
        <v>35431</v>
      </c>
      <c r="C34" s="117">
        <v>35462</v>
      </c>
      <c r="D34" s="116">
        <f t="shared" si="0"/>
        <v>5.5490822551097105</v>
      </c>
      <c r="E34" s="116"/>
      <c r="F34" s="115">
        <v>1.7932131940420282</v>
      </c>
      <c r="G34" s="115">
        <v>3.97574882153982</v>
      </c>
      <c r="H34" s="115">
        <v>5.5490822551097105</v>
      </c>
      <c r="I34" s="115">
        <v>4.743999999999998</v>
      </c>
      <c r="J34" s="63"/>
      <c r="K34" s="60"/>
    </row>
    <row r="35" spans="2:11" ht="15" x14ac:dyDescent="0.25">
      <c r="B35" s="117">
        <v>35462</v>
      </c>
      <c r="C35" s="117">
        <v>35490</v>
      </c>
      <c r="D35" s="116">
        <f t="shared" si="0"/>
        <v>5.5099615282590708</v>
      </c>
      <c r="E35" s="116"/>
      <c r="F35" s="115">
        <v>1.7814555871667257</v>
      </c>
      <c r="G35" s="115">
        <v>3.9496809274188514</v>
      </c>
      <c r="H35" s="115">
        <v>5.5099615282590708</v>
      </c>
      <c r="I35" s="115">
        <v>4.7272999999999996</v>
      </c>
      <c r="J35" s="63"/>
      <c r="K35" s="60"/>
    </row>
    <row r="36" spans="2:11" ht="15" x14ac:dyDescent="0.25">
      <c r="B36" s="117">
        <v>35490</v>
      </c>
      <c r="C36" s="117">
        <v>35521</v>
      </c>
      <c r="D36" s="116">
        <f t="shared" si="0"/>
        <v>5.4776434320102103</v>
      </c>
      <c r="E36" s="116"/>
      <c r="F36" s="115">
        <v>1.7703026802809538</v>
      </c>
      <c r="G36" s="115">
        <v>3.9249537189892152</v>
      </c>
      <c r="H36" s="115">
        <v>5.4776434320102103</v>
      </c>
      <c r="I36" s="115">
        <v>4.7108999999999988</v>
      </c>
      <c r="J36" s="63"/>
      <c r="K36" s="60"/>
    </row>
    <row r="37" spans="2:11" ht="15" x14ac:dyDescent="0.25">
      <c r="B37" s="117">
        <v>35521</v>
      </c>
      <c r="C37" s="117">
        <v>35551</v>
      </c>
      <c r="D37" s="116">
        <f t="shared" si="0"/>
        <v>5.4406470321913103</v>
      </c>
      <c r="E37" s="116"/>
      <c r="F37" s="115">
        <v>1.7593944347852812</v>
      </c>
      <c r="G37" s="115">
        <v>3.9007689514899688</v>
      </c>
      <c r="H37" s="115">
        <v>5.4406470321913103</v>
      </c>
      <c r="I37" s="115">
        <v>4.6942999999999984</v>
      </c>
      <c r="J37" s="63"/>
      <c r="K37" s="60"/>
    </row>
    <row r="38" spans="2:11" ht="15" x14ac:dyDescent="0.25">
      <c r="B38" s="117">
        <v>35551</v>
      </c>
      <c r="C38" s="117">
        <v>35582</v>
      </c>
      <c r="D38" s="116">
        <f t="shared" si="0"/>
        <v>5.4135791365087673</v>
      </c>
      <c r="E38" s="116"/>
      <c r="F38" s="115">
        <v>1.7482059169170125</v>
      </c>
      <c r="G38" s="115">
        <v>3.8759627896362971</v>
      </c>
      <c r="H38" s="115">
        <v>5.4135791365087673</v>
      </c>
      <c r="I38" s="115">
        <v>4.6784999999999979</v>
      </c>
      <c r="J38" s="63"/>
      <c r="K38" s="60"/>
    </row>
    <row r="39" spans="2:11" ht="15" x14ac:dyDescent="0.25">
      <c r="B39" s="117">
        <v>35582</v>
      </c>
      <c r="C39" s="117">
        <v>35612</v>
      </c>
      <c r="D39" s="116">
        <f t="shared" si="0"/>
        <v>5.3839673162692856</v>
      </c>
      <c r="E39" s="116"/>
      <c r="F39" s="115">
        <v>1.7369159631564959</v>
      </c>
      <c r="G39" s="115">
        <v>3.8509317333693973</v>
      </c>
      <c r="H39" s="115">
        <v>5.3839673162692856</v>
      </c>
      <c r="I39" s="115">
        <v>4.6623999999999981</v>
      </c>
      <c r="J39" s="63"/>
      <c r="K39" s="60"/>
    </row>
    <row r="40" spans="2:11" ht="15" x14ac:dyDescent="0.25">
      <c r="B40" s="117">
        <v>35612</v>
      </c>
      <c r="C40" s="117">
        <v>35643</v>
      </c>
      <c r="D40" s="116">
        <f t="shared" si="0"/>
        <v>5.3673285976166731</v>
      </c>
      <c r="E40" s="116"/>
      <c r="F40" s="115">
        <v>1.7255274817767667</v>
      </c>
      <c r="G40" s="115">
        <v>3.825682230647121</v>
      </c>
      <c r="H40" s="115">
        <v>5.3673285976166731</v>
      </c>
      <c r="I40" s="115">
        <v>4.6463999999999981</v>
      </c>
      <c r="J40" s="63"/>
      <c r="K40" s="60"/>
    </row>
    <row r="41" spans="2:11" ht="15" x14ac:dyDescent="0.25">
      <c r="B41" s="117">
        <v>35643</v>
      </c>
      <c r="C41" s="117">
        <v>35674</v>
      </c>
      <c r="D41" s="116">
        <f t="shared" si="0"/>
        <v>5.3582196242554385</v>
      </c>
      <c r="E41" s="116"/>
      <c r="F41" s="115">
        <v>1.7147247160655532</v>
      </c>
      <c r="G41" s="115">
        <v>3.8017313233102645</v>
      </c>
      <c r="H41" s="115">
        <v>5.3582196242554385</v>
      </c>
      <c r="I41" s="115">
        <v>4.6304999999999978</v>
      </c>
      <c r="J41" s="63"/>
      <c r="K41" s="60"/>
    </row>
    <row r="42" spans="2:11" ht="15" x14ac:dyDescent="0.25">
      <c r="B42" s="117">
        <v>35674</v>
      </c>
      <c r="C42" s="117">
        <v>35704</v>
      </c>
      <c r="D42" s="116">
        <f t="shared" si="0"/>
        <v>5.3609000742925845</v>
      </c>
      <c r="E42" s="116"/>
      <c r="F42" s="115">
        <v>1.7036509846652292</v>
      </c>
      <c r="G42" s="115">
        <v>3.7771796555491952</v>
      </c>
      <c r="H42" s="115">
        <v>5.3609000742925845</v>
      </c>
      <c r="I42" s="115">
        <v>4.6145999999999976</v>
      </c>
      <c r="J42" s="63"/>
      <c r="K42" s="60"/>
    </row>
    <row r="43" spans="2:11" ht="15" x14ac:dyDescent="0.25">
      <c r="B43" s="117">
        <v>35704</v>
      </c>
      <c r="C43" s="117">
        <v>35735</v>
      </c>
      <c r="D43" s="116">
        <f t="shared" si="0"/>
        <v>5.3475312461771418</v>
      </c>
      <c r="E43" s="116"/>
      <c r="F43" s="115">
        <v>1.6924806126219223</v>
      </c>
      <c r="G43" s="115">
        <v>3.7524137249644247</v>
      </c>
      <c r="H43" s="115">
        <v>5.3475312461771418</v>
      </c>
      <c r="I43" s="115">
        <v>4.5978999999999992</v>
      </c>
      <c r="J43" s="63"/>
      <c r="K43" s="60"/>
    </row>
    <row r="44" spans="2:11" ht="15" x14ac:dyDescent="0.25">
      <c r="B44" s="117">
        <v>35735</v>
      </c>
      <c r="C44" s="117">
        <v>35765</v>
      </c>
      <c r="D44" s="116">
        <f t="shared" si="0"/>
        <v>5.3437905927622085</v>
      </c>
      <c r="E44" s="116"/>
      <c r="F44" s="115">
        <v>1.6669758816329345</v>
      </c>
      <c r="G44" s="115">
        <v>3.6958669604692367</v>
      </c>
      <c r="H44" s="115">
        <v>5.3437905927622085</v>
      </c>
      <c r="I44" s="115">
        <v>4.567499999999999</v>
      </c>
      <c r="J44" s="63"/>
      <c r="K44" s="60"/>
    </row>
    <row r="45" spans="2:11" ht="15" x14ac:dyDescent="0.25">
      <c r="B45" s="117">
        <v>35765</v>
      </c>
      <c r="C45" s="117">
        <v>35796</v>
      </c>
      <c r="D45" s="116">
        <f t="shared" si="0"/>
        <v>5.3177336976437548</v>
      </c>
      <c r="E45" s="116"/>
      <c r="F45" s="115">
        <v>1.6454208682587448</v>
      </c>
      <c r="G45" s="115">
        <v>3.6480771498067681</v>
      </c>
      <c r="H45" s="115">
        <v>5.3177336976437548</v>
      </c>
      <c r="I45" s="115">
        <v>4.5377999999999972</v>
      </c>
      <c r="J45" s="63"/>
      <c r="K45" s="60"/>
    </row>
    <row r="46" spans="2:11" ht="15" x14ac:dyDescent="0.25">
      <c r="B46" s="117">
        <v>35796</v>
      </c>
      <c r="C46" s="117">
        <v>35827</v>
      </c>
      <c r="D46" s="116">
        <f t="shared" si="0"/>
        <v>5.2891721679368953</v>
      </c>
      <c r="E46" s="116"/>
      <c r="F46" s="115">
        <v>1.6267136611554589</v>
      </c>
      <c r="G46" s="115">
        <v>3.606601235597402</v>
      </c>
      <c r="H46" s="115">
        <v>5.2891721679368953</v>
      </c>
      <c r="I46" s="115">
        <v>4.511099999999999</v>
      </c>
      <c r="J46" s="63"/>
      <c r="K46" s="60"/>
    </row>
    <row r="47" spans="2:11" ht="15" x14ac:dyDescent="0.25">
      <c r="B47" s="117">
        <v>35827</v>
      </c>
      <c r="C47" s="117">
        <v>35855</v>
      </c>
      <c r="D47" s="116">
        <f t="shared" si="0"/>
        <v>5.2555367328466769</v>
      </c>
      <c r="E47" s="116"/>
      <c r="F47" s="115">
        <v>1.6194262430616793</v>
      </c>
      <c r="G47" s="115">
        <v>3.5904442365329987</v>
      </c>
      <c r="H47" s="115">
        <v>5.2555367328466769</v>
      </c>
      <c r="I47" s="115">
        <v>4.4897999999999989</v>
      </c>
      <c r="J47" s="63"/>
      <c r="K47" s="60"/>
    </row>
    <row r="48" spans="2:11" ht="15" x14ac:dyDescent="0.25">
      <c r="B48" s="117">
        <v>35855</v>
      </c>
      <c r="C48" s="117">
        <v>35886</v>
      </c>
      <c r="D48" s="116">
        <f t="shared" si="0"/>
        <v>5.2351197657602118</v>
      </c>
      <c r="E48" s="116"/>
      <c r="F48" s="115">
        <v>1.6049814103683619</v>
      </c>
      <c r="G48" s="115">
        <v>3.5584184703002917</v>
      </c>
      <c r="H48" s="115">
        <v>5.2351197657602118</v>
      </c>
      <c r="I48" s="115">
        <v>4.4677999999999987</v>
      </c>
      <c r="J48" s="63"/>
      <c r="K48" s="60"/>
    </row>
    <row r="49" spans="2:11" ht="15" x14ac:dyDescent="0.25">
      <c r="B49" s="117">
        <v>35886</v>
      </c>
      <c r="C49" s="117">
        <v>35916</v>
      </c>
      <c r="D49" s="116">
        <f t="shared" si="0"/>
        <v>5.2236277846340169</v>
      </c>
      <c r="E49" s="116"/>
      <c r="F49" s="115">
        <v>1.5974732859245142</v>
      </c>
      <c r="G49" s="115">
        <v>3.5417721412364749</v>
      </c>
      <c r="H49" s="115">
        <v>5.2236277846340169</v>
      </c>
      <c r="I49" s="115">
        <v>4.4506999999999977</v>
      </c>
      <c r="J49" s="63"/>
      <c r="K49" s="60"/>
    </row>
    <row r="50" spans="2:11" ht="15" x14ac:dyDescent="0.25">
      <c r="B50" s="117">
        <v>35916</v>
      </c>
      <c r="C50" s="117">
        <v>35947</v>
      </c>
      <c r="D50" s="116">
        <f t="shared" si="0"/>
        <v>5.2022983613524714</v>
      </c>
      <c r="E50" s="116"/>
      <c r="F50" s="115">
        <v>1.5903168600542701</v>
      </c>
      <c r="G50" s="115">
        <v>3.5259055661886256</v>
      </c>
      <c r="H50" s="115">
        <v>5.2022983613524714</v>
      </c>
      <c r="I50" s="115">
        <v>4.4343999999999983</v>
      </c>
      <c r="J50" s="63"/>
      <c r="K50" s="60"/>
    </row>
    <row r="51" spans="2:11" ht="15" x14ac:dyDescent="0.25">
      <c r="B51" s="117">
        <v>35947</v>
      </c>
      <c r="C51" s="117">
        <v>35977</v>
      </c>
      <c r="D51" s="116">
        <f t="shared" si="0"/>
        <v>5.1846704817146412</v>
      </c>
      <c r="E51" s="116"/>
      <c r="F51" s="115">
        <v>1.5825623047609385</v>
      </c>
      <c r="G51" s="115">
        <v>3.5087128731103783</v>
      </c>
      <c r="H51" s="115">
        <v>5.1846704817146412</v>
      </c>
      <c r="I51" s="115">
        <v>4.4183999999999983</v>
      </c>
      <c r="J51" s="63"/>
      <c r="K51" s="60"/>
    </row>
    <row r="52" spans="2:11" ht="15" x14ac:dyDescent="0.25">
      <c r="B52" s="117">
        <v>35977</v>
      </c>
      <c r="C52" s="117">
        <v>36008</v>
      </c>
      <c r="D52" s="116">
        <f t="shared" si="0"/>
        <v>5.1903798996042054</v>
      </c>
      <c r="E52" s="116"/>
      <c r="F52" s="115">
        <v>1.5739058227358944</v>
      </c>
      <c r="G52" s="115">
        <v>3.4895205103037155</v>
      </c>
      <c r="H52" s="115">
        <v>5.1903798996042054</v>
      </c>
      <c r="I52" s="115">
        <v>4.4013999999999989</v>
      </c>
      <c r="J52" s="63"/>
      <c r="K52" s="60"/>
    </row>
    <row r="53" spans="2:11" ht="15" x14ac:dyDescent="0.25">
      <c r="B53" s="117">
        <v>36008</v>
      </c>
      <c r="C53" s="117">
        <v>36039</v>
      </c>
      <c r="D53" s="116">
        <f t="shared" si="0"/>
        <v>5.2096556254182529</v>
      </c>
      <c r="E53" s="116"/>
      <c r="F53" s="115">
        <v>1.5681038385333184</v>
      </c>
      <c r="G53" s="115">
        <v>3.4766568798482709</v>
      </c>
      <c r="H53" s="115">
        <v>5.2096556254182529</v>
      </c>
      <c r="I53" s="115">
        <v>4.3865999999999978</v>
      </c>
      <c r="J53" s="63"/>
      <c r="K53" s="60"/>
    </row>
    <row r="54" spans="2:11" ht="15" x14ac:dyDescent="0.25">
      <c r="B54" s="117">
        <v>36039</v>
      </c>
      <c r="C54" s="117">
        <v>36069</v>
      </c>
      <c r="D54" s="116">
        <f t="shared" si="0"/>
        <v>5.232679414843564</v>
      </c>
      <c r="E54" s="116"/>
      <c r="F54" s="115">
        <v>1.5610789831093239</v>
      </c>
      <c r="G54" s="115">
        <v>3.4610820107996667</v>
      </c>
      <c r="H54" s="115">
        <v>5.232679414843564</v>
      </c>
      <c r="I54" s="115">
        <v>4.361699999999999</v>
      </c>
      <c r="J54" s="63"/>
      <c r="K54" s="60"/>
    </row>
    <row r="55" spans="2:11" ht="15" x14ac:dyDescent="0.25">
      <c r="B55" s="117">
        <v>36069</v>
      </c>
      <c r="C55" s="117">
        <v>36100</v>
      </c>
      <c r="D55" s="116">
        <f t="shared" si="0"/>
        <v>5.2321561992236418</v>
      </c>
      <c r="E55" s="116"/>
      <c r="F55" s="115">
        <v>1.5473079424217719</v>
      </c>
      <c r="G55" s="115">
        <v>3.430550114778145</v>
      </c>
      <c r="H55" s="115">
        <v>5.2321561992236418</v>
      </c>
      <c r="I55" s="115">
        <v>4.3322999999999983</v>
      </c>
      <c r="J55" s="63"/>
      <c r="K55" s="60"/>
    </row>
    <row r="56" spans="2:11" ht="15" x14ac:dyDescent="0.25">
      <c r="B56" s="117">
        <v>36100</v>
      </c>
      <c r="C56" s="117">
        <v>36130</v>
      </c>
      <c r="D56" s="116">
        <f t="shared" si="0"/>
        <v>5.2379179089234578</v>
      </c>
      <c r="E56" s="116"/>
      <c r="F56" s="115">
        <v>1.5379265902214203</v>
      </c>
      <c r="G56" s="115">
        <v>3.4097506358991585</v>
      </c>
      <c r="H56" s="115">
        <v>5.2379179089234578</v>
      </c>
      <c r="I56" s="115">
        <v>4.3059999999999992</v>
      </c>
      <c r="J56" s="63"/>
      <c r="K56" s="60"/>
    </row>
    <row r="57" spans="2:11" ht="15" x14ac:dyDescent="0.25">
      <c r="B57" s="117">
        <v>36130</v>
      </c>
      <c r="C57" s="117">
        <v>36161</v>
      </c>
      <c r="D57" s="116">
        <f t="shared" si="0"/>
        <v>5.2311174562303577</v>
      </c>
      <c r="E57" s="116"/>
      <c r="F57" s="115">
        <v>1.5266295316869389</v>
      </c>
      <c r="G57" s="115">
        <v>3.3847038275751067</v>
      </c>
      <c r="H57" s="115">
        <v>5.2311174562303577</v>
      </c>
      <c r="I57" s="115">
        <v>4.2819999999999983</v>
      </c>
      <c r="J57" s="63"/>
      <c r="K57" s="60"/>
    </row>
    <row r="58" spans="2:11" ht="15" x14ac:dyDescent="0.25">
      <c r="B58" s="117">
        <v>36161</v>
      </c>
      <c r="C58" s="117">
        <v>36192</v>
      </c>
      <c r="D58" s="116">
        <f t="shared" si="0"/>
        <v>5.1957861106777496</v>
      </c>
      <c r="E58" s="116"/>
      <c r="F58" s="115">
        <v>1.5187321246388155</v>
      </c>
      <c r="G58" s="115">
        <v>3.3671944166087378</v>
      </c>
      <c r="H58" s="115">
        <v>5.1957861106777496</v>
      </c>
      <c r="I58" s="115">
        <v>4.2601999999999993</v>
      </c>
      <c r="J58" s="63"/>
      <c r="K58" s="60"/>
    </row>
    <row r="59" spans="2:11" ht="15" x14ac:dyDescent="0.25">
      <c r="B59" s="117">
        <v>36192</v>
      </c>
      <c r="C59" s="117">
        <v>36220</v>
      </c>
      <c r="D59" s="116">
        <f t="shared" si="0"/>
        <v>5.1627445455859995</v>
      </c>
      <c r="E59" s="116"/>
      <c r="F59" s="115">
        <v>1.5062304122174095</v>
      </c>
      <c r="G59" s="115">
        <v>3.3394767595048438</v>
      </c>
      <c r="H59" s="115">
        <v>5.1627445455859995</v>
      </c>
      <c r="I59" s="115">
        <v>4.2363999999999997</v>
      </c>
      <c r="J59" s="63"/>
      <c r="K59" s="60"/>
    </row>
    <row r="60" spans="2:11" ht="15" x14ac:dyDescent="0.25">
      <c r="B60" s="117">
        <v>36220</v>
      </c>
      <c r="C60" s="117">
        <v>36251</v>
      </c>
      <c r="D60" s="116">
        <f t="shared" si="0"/>
        <v>5.1005182232622008</v>
      </c>
      <c r="E60" s="116"/>
      <c r="F60" s="115">
        <v>1.488958493690596</v>
      </c>
      <c r="G60" s="115">
        <v>3.3011830362839443</v>
      </c>
      <c r="H60" s="115">
        <v>5.1005182232622008</v>
      </c>
      <c r="I60" s="115">
        <v>4.2030999999999992</v>
      </c>
      <c r="J60" s="63"/>
      <c r="K60" s="60"/>
    </row>
    <row r="61" spans="2:11" ht="15" x14ac:dyDescent="0.25">
      <c r="B61" s="117">
        <v>36251</v>
      </c>
      <c r="C61" s="117">
        <v>36281</v>
      </c>
      <c r="D61" s="116">
        <f t="shared" si="0"/>
        <v>5.0610420949218105</v>
      </c>
      <c r="E61" s="116"/>
      <c r="F61" s="115">
        <v>1.4799309151084343</v>
      </c>
      <c r="G61" s="115">
        <v>3.2811679120206185</v>
      </c>
      <c r="H61" s="115">
        <v>5.0610420949218105</v>
      </c>
      <c r="I61" s="115">
        <v>4.1795999999999989</v>
      </c>
      <c r="J61" s="63"/>
      <c r="K61" s="60"/>
    </row>
    <row r="62" spans="2:11" ht="15" x14ac:dyDescent="0.25">
      <c r="B62" s="117">
        <v>36281</v>
      </c>
      <c r="C62" s="117">
        <v>36312</v>
      </c>
      <c r="D62" s="116">
        <f t="shared" si="0"/>
        <v>5.0353617499968264</v>
      </c>
      <c r="E62" s="116"/>
      <c r="F62" s="115">
        <v>1.4713968135896138</v>
      </c>
      <c r="G62" s="115">
        <v>3.2622468801159448</v>
      </c>
      <c r="H62" s="115">
        <v>5.0353617499968264</v>
      </c>
      <c r="I62" s="115">
        <v>4.1593999999999998</v>
      </c>
      <c r="J62" s="63"/>
      <c r="K62" s="60"/>
    </row>
    <row r="63" spans="2:11" ht="15" x14ac:dyDescent="0.25">
      <c r="B63" s="117">
        <v>36312</v>
      </c>
      <c r="C63" s="117">
        <v>36342</v>
      </c>
      <c r="D63" s="116">
        <f t="shared" si="0"/>
        <v>5.036369023801587</v>
      </c>
      <c r="E63" s="116"/>
      <c r="F63" s="115">
        <v>1.466849579891949</v>
      </c>
      <c r="G63" s="115">
        <v>3.2521651680948507</v>
      </c>
      <c r="H63" s="115">
        <v>5.036369023801587</v>
      </c>
      <c r="I63" s="115">
        <v>4.1426999999999996</v>
      </c>
      <c r="J63" s="63"/>
      <c r="K63" s="60"/>
    </row>
    <row r="64" spans="2:11" ht="15" x14ac:dyDescent="0.25">
      <c r="B64" s="117">
        <v>36342</v>
      </c>
      <c r="C64" s="117">
        <v>36373</v>
      </c>
      <c r="D64" s="116">
        <f t="shared" si="0"/>
        <v>4.9968935646409234</v>
      </c>
      <c r="E64" s="116"/>
      <c r="F64" s="115">
        <v>1.4626080166436792</v>
      </c>
      <c r="G64" s="115">
        <v>3.2427611607287306</v>
      </c>
      <c r="H64" s="115">
        <v>4.9968935646409234</v>
      </c>
      <c r="I64" s="115">
        <v>4.1260999999999992</v>
      </c>
      <c r="J64" s="63"/>
      <c r="K64" s="60"/>
    </row>
    <row r="65" spans="2:11" ht="15" x14ac:dyDescent="0.25">
      <c r="B65" s="117">
        <v>36373</v>
      </c>
      <c r="C65" s="117">
        <v>36404</v>
      </c>
      <c r="D65" s="116">
        <f t="shared" si="0"/>
        <v>4.9567439387371524</v>
      </c>
      <c r="E65" s="116"/>
      <c r="F65" s="115">
        <v>1.4583787183604304</v>
      </c>
      <c r="G65" s="115">
        <v>3.2333843461249598</v>
      </c>
      <c r="H65" s="115">
        <v>4.9567439387371524</v>
      </c>
      <c r="I65" s="115">
        <v>4.1104000000000003</v>
      </c>
      <c r="J65" s="63"/>
      <c r="K65" s="60"/>
    </row>
    <row r="66" spans="2:11" ht="15" x14ac:dyDescent="0.25">
      <c r="B66" s="117">
        <v>36404</v>
      </c>
      <c r="C66" s="117">
        <v>36434</v>
      </c>
      <c r="D66" s="116">
        <f t="shared" si="0"/>
        <v>4.9335562244820865</v>
      </c>
      <c r="E66" s="116"/>
      <c r="F66" s="115">
        <v>1.4544516987737386</v>
      </c>
      <c r="G66" s="115">
        <v>3.2246777162909686</v>
      </c>
      <c r="H66" s="115">
        <v>4.9335562244820865</v>
      </c>
      <c r="I66" s="115">
        <v>4.0954999999999995</v>
      </c>
      <c r="J66" s="63"/>
      <c r="K66" s="60"/>
    </row>
    <row r="67" spans="2:11" ht="15" x14ac:dyDescent="0.25">
      <c r="B67" s="117">
        <v>36434</v>
      </c>
      <c r="C67" s="117">
        <v>36465</v>
      </c>
      <c r="D67" s="116">
        <f t="shared" ref="D67:D130" si="1">VLOOKUP(C67,C:I,IF(índice_cm=1,4,IF(índice_cm=2,5,IF(índice_cm=3,6,7))),0)</f>
        <v>4.8944010163512761</v>
      </c>
      <c r="E67" s="116"/>
      <c r="F67" s="115">
        <v>1.4511141362603366</v>
      </c>
      <c r="G67" s="115">
        <v>3.2172779769439908</v>
      </c>
      <c r="H67" s="115">
        <v>4.8944010163512761</v>
      </c>
      <c r="I67" s="115">
        <v>4.0816999999999997</v>
      </c>
      <c r="J67" s="63"/>
      <c r="K67" s="60"/>
    </row>
    <row r="68" spans="2:11" ht="15" x14ac:dyDescent="0.25">
      <c r="B68" s="117">
        <v>36465</v>
      </c>
      <c r="C68" s="117">
        <v>36495</v>
      </c>
      <c r="D68" s="116">
        <f t="shared" si="1"/>
        <v>4.8464214440551299</v>
      </c>
      <c r="E68" s="116"/>
      <c r="F68" s="115">
        <v>1.448217700858619</v>
      </c>
      <c r="G68" s="115">
        <v>3.2108562644151597</v>
      </c>
      <c r="H68" s="115">
        <v>4.8464214440551299</v>
      </c>
      <c r="I68" s="115">
        <v>4.0678000000000001</v>
      </c>
      <c r="J68" s="63"/>
      <c r="K68" s="60"/>
    </row>
    <row r="69" spans="2:11" ht="15" x14ac:dyDescent="0.25">
      <c r="B69" s="117">
        <v>36495</v>
      </c>
      <c r="C69" s="117">
        <v>36526</v>
      </c>
      <c r="D69" s="116">
        <f t="shared" si="1"/>
        <v>4.8027167218859672</v>
      </c>
      <c r="E69" s="116"/>
      <c r="F69" s="115">
        <v>1.4438860427304263</v>
      </c>
      <c r="G69" s="115">
        <v>3.2012525068944724</v>
      </c>
      <c r="H69" s="115">
        <v>4.8027167218859672</v>
      </c>
      <c r="I69" s="115">
        <v>4.0518000000000001</v>
      </c>
      <c r="J69" s="63"/>
      <c r="K69" s="60"/>
    </row>
    <row r="70" spans="2:11" ht="15" x14ac:dyDescent="0.25">
      <c r="B70" s="117">
        <v>36526</v>
      </c>
      <c r="C70" s="117">
        <v>36557</v>
      </c>
      <c r="D70" s="116">
        <f t="shared" si="1"/>
        <v>4.7717006675469129</v>
      </c>
      <c r="E70" s="116"/>
      <c r="F70" s="115">
        <v>1.4408602362343335</v>
      </c>
      <c r="G70" s="115">
        <v>3.1945439645688762</v>
      </c>
      <c r="H70" s="115">
        <v>4.7717006675469129</v>
      </c>
      <c r="I70" s="115">
        <v>4.0372000000000003</v>
      </c>
      <c r="J70" s="63"/>
      <c r="K70" s="60"/>
    </row>
    <row r="71" spans="2:11" ht="15" x14ac:dyDescent="0.25">
      <c r="B71" s="117">
        <v>36557</v>
      </c>
      <c r="C71" s="117">
        <v>36586</v>
      </c>
      <c r="D71" s="116">
        <f t="shared" si="1"/>
        <v>4.7555318592255453</v>
      </c>
      <c r="E71" s="116"/>
      <c r="F71" s="115">
        <v>1.4375538623509228</v>
      </c>
      <c r="G71" s="115">
        <v>3.1872133738091075</v>
      </c>
      <c r="H71" s="115">
        <v>4.7555318592255453</v>
      </c>
      <c r="I71" s="115">
        <v>4.0227000000000004</v>
      </c>
      <c r="J71" s="63"/>
      <c r="K71" s="60"/>
    </row>
    <row r="72" spans="2:11" ht="15" x14ac:dyDescent="0.25">
      <c r="B72" s="117">
        <v>36586</v>
      </c>
      <c r="C72" s="117">
        <v>36617</v>
      </c>
      <c r="D72" s="116">
        <f t="shared" si="1"/>
        <v>4.7512557290693831</v>
      </c>
      <c r="E72" s="116"/>
      <c r="F72" s="115">
        <v>1.434398186340972</v>
      </c>
      <c r="G72" s="115">
        <v>3.1802168966365061</v>
      </c>
      <c r="H72" s="115">
        <v>4.7512557290693831</v>
      </c>
      <c r="I72" s="115">
        <v>4.0082000000000004</v>
      </c>
      <c r="J72" s="63"/>
      <c r="K72" s="60"/>
    </row>
    <row r="73" spans="2:11" ht="15" x14ac:dyDescent="0.25">
      <c r="B73" s="117">
        <v>36617</v>
      </c>
      <c r="C73" s="117">
        <v>36647</v>
      </c>
      <c r="D73" s="116">
        <f t="shared" si="1"/>
        <v>4.7290292913998044</v>
      </c>
      <c r="E73" s="116"/>
      <c r="F73" s="115">
        <v>1.4325358896843829</v>
      </c>
      <c r="G73" s="115">
        <v>3.17608798225957</v>
      </c>
      <c r="H73" s="115">
        <v>4.7290292913998044</v>
      </c>
      <c r="I73" s="115">
        <v>3.9952000000000001</v>
      </c>
      <c r="J73" s="63"/>
      <c r="K73" s="60"/>
    </row>
    <row r="74" spans="2:11" ht="15" x14ac:dyDescent="0.25">
      <c r="B74" s="117">
        <v>36647</v>
      </c>
      <c r="C74" s="117">
        <v>36678</v>
      </c>
      <c r="D74" s="116">
        <f t="shared" si="1"/>
        <v>4.7247769921069089</v>
      </c>
      <c r="E74" s="116"/>
      <c r="F74" s="115">
        <v>1.4289634809819305</v>
      </c>
      <c r="G74" s="115">
        <v>3.1681675633511972</v>
      </c>
      <c r="H74" s="115">
        <v>4.7247769921069089</v>
      </c>
      <c r="I74" s="115">
        <v>3.9803000000000011</v>
      </c>
      <c r="J74" s="63"/>
      <c r="K74" s="60"/>
    </row>
    <row r="75" spans="2:11" ht="15" x14ac:dyDescent="0.25">
      <c r="B75" s="117">
        <v>36678</v>
      </c>
      <c r="C75" s="117">
        <v>36708</v>
      </c>
      <c r="D75" s="116">
        <f t="shared" si="1"/>
        <v>4.7210001919533466</v>
      </c>
      <c r="E75" s="116"/>
      <c r="F75" s="115">
        <v>1.4259689461949197</v>
      </c>
      <c r="G75" s="115">
        <v>3.1615283538081962</v>
      </c>
      <c r="H75" s="115">
        <v>4.7210001919533466</v>
      </c>
      <c r="I75" s="115">
        <v>3.9664000000000006</v>
      </c>
      <c r="J75" s="63"/>
      <c r="K75" s="60"/>
    </row>
    <row r="76" spans="2:11" ht="15" x14ac:dyDescent="0.25">
      <c r="B76" s="117">
        <v>36708</v>
      </c>
      <c r="C76" s="117">
        <v>36739</v>
      </c>
      <c r="D76" s="116">
        <f t="shared" si="1"/>
        <v>4.6844613930872656</v>
      </c>
      <c r="E76" s="116"/>
      <c r="F76" s="115">
        <v>1.4238331964003172</v>
      </c>
      <c r="G76" s="115">
        <v>3.156793164062099</v>
      </c>
      <c r="H76" s="115">
        <v>4.6844613930872656</v>
      </c>
      <c r="I76" s="115">
        <v>3.9533</v>
      </c>
      <c r="J76" s="63"/>
      <c r="K76" s="60"/>
    </row>
    <row r="77" spans="2:11" ht="15" x14ac:dyDescent="0.25">
      <c r="B77" s="117">
        <v>36739</v>
      </c>
      <c r="C77" s="117">
        <v>36770</v>
      </c>
      <c r="D77" s="116">
        <f t="shared" si="1"/>
        <v>4.5930595088609332</v>
      </c>
      <c r="E77" s="116"/>
      <c r="F77" s="115">
        <v>1.4209912139723713</v>
      </c>
      <c r="G77" s="115">
        <v>3.1504921797026908</v>
      </c>
      <c r="H77" s="115">
        <v>4.5930595088609332</v>
      </c>
      <c r="I77" s="115">
        <v>3.9392</v>
      </c>
      <c r="J77" s="63"/>
      <c r="K77" s="60"/>
    </row>
    <row r="78" spans="2:11" ht="15" x14ac:dyDescent="0.25">
      <c r="B78" s="117">
        <v>36770</v>
      </c>
      <c r="C78" s="117">
        <v>36800</v>
      </c>
      <c r="D78" s="116">
        <f t="shared" si="1"/>
        <v>4.5724833338585702</v>
      </c>
      <c r="E78" s="116"/>
      <c r="F78" s="115">
        <v>1.4195716423300446</v>
      </c>
      <c r="G78" s="115">
        <v>3.1473448348678303</v>
      </c>
      <c r="H78" s="115">
        <v>4.5724833338585702</v>
      </c>
      <c r="I78" s="115">
        <v>3.927</v>
      </c>
      <c r="J78" s="63"/>
      <c r="K78" s="60"/>
    </row>
    <row r="79" spans="2:11" ht="15" x14ac:dyDescent="0.25">
      <c r="B79" s="117">
        <v>36800</v>
      </c>
      <c r="C79" s="117">
        <v>36831</v>
      </c>
      <c r="D79" s="116">
        <f t="shared" si="1"/>
        <v>4.5642676520848173</v>
      </c>
      <c r="E79" s="116"/>
      <c r="F79" s="115">
        <v>1.4177285951563434</v>
      </c>
      <c r="G79" s="115">
        <v>3.1432585986895387</v>
      </c>
      <c r="H79" s="115">
        <v>4.5642676520848173</v>
      </c>
      <c r="I79" s="115">
        <v>3.9141000000000008</v>
      </c>
      <c r="J79" s="63"/>
      <c r="K79" s="60"/>
    </row>
    <row r="80" spans="2:11" ht="15" x14ac:dyDescent="0.25">
      <c r="B80" s="117">
        <v>36831</v>
      </c>
      <c r="C80" s="117">
        <v>36861</v>
      </c>
      <c r="D80" s="116">
        <f t="shared" si="1"/>
        <v>4.5565215654235969</v>
      </c>
      <c r="E80" s="116"/>
      <c r="F80" s="115">
        <v>1.4160293599244325</v>
      </c>
      <c r="G80" s="115">
        <v>3.1394912092384488</v>
      </c>
      <c r="H80" s="115">
        <v>4.5565215654235969</v>
      </c>
      <c r="I80" s="115">
        <v>3.9019000000000008</v>
      </c>
      <c r="J80" s="63"/>
      <c r="K80" s="60"/>
    </row>
    <row r="81" spans="2:11" ht="15" x14ac:dyDescent="0.25">
      <c r="B81" s="117">
        <v>36861</v>
      </c>
      <c r="C81" s="117">
        <v>36892</v>
      </c>
      <c r="D81" s="116">
        <f t="shared" si="1"/>
        <v>4.5293454924687842</v>
      </c>
      <c r="E81" s="116"/>
      <c r="F81" s="115">
        <v>1.4146147451792563</v>
      </c>
      <c r="G81" s="115">
        <v>3.1363548543840718</v>
      </c>
      <c r="H81" s="115">
        <v>4.5293454924687842</v>
      </c>
      <c r="I81" s="115">
        <v>3.8899000000000004</v>
      </c>
      <c r="J81" s="63"/>
      <c r="K81" s="60"/>
    </row>
    <row r="82" spans="2:11" ht="15" x14ac:dyDescent="0.25">
      <c r="B82" s="117">
        <v>36892</v>
      </c>
      <c r="C82" s="117">
        <v>36923</v>
      </c>
      <c r="D82" s="116">
        <f t="shared" si="1"/>
        <v>4.5009892601299653</v>
      </c>
      <c r="E82" s="116"/>
      <c r="F82" s="115">
        <v>1.4126370533046324</v>
      </c>
      <c r="G82" s="115">
        <v>3.1319700962493284</v>
      </c>
      <c r="H82" s="115">
        <v>4.5009892601299653</v>
      </c>
      <c r="I82" s="115">
        <v>3.8772000000000006</v>
      </c>
      <c r="J82" s="63"/>
      <c r="K82" s="60"/>
    </row>
    <row r="83" spans="2:11" ht="15" x14ac:dyDescent="0.25">
      <c r="B83" s="117">
        <v>36923</v>
      </c>
      <c r="C83" s="117">
        <v>36951</v>
      </c>
      <c r="D83" s="116">
        <f t="shared" si="1"/>
        <v>4.4785962787362843</v>
      </c>
      <c r="E83" s="116"/>
      <c r="F83" s="115">
        <v>1.4120722244148693</v>
      </c>
      <c r="G83" s="115">
        <v>3.1307178091256849</v>
      </c>
      <c r="H83" s="115">
        <v>4.4785962787362843</v>
      </c>
      <c r="I83" s="115">
        <v>3.8670000000000013</v>
      </c>
      <c r="J83" s="63"/>
      <c r="K83" s="60"/>
    </row>
    <row r="84" spans="2:11" ht="15" x14ac:dyDescent="0.25">
      <c r="B84" s="117">
        <v>36951</v>
      </c>
      <c r="C84" s="117">
        <v>36982</v>
      </c>
      <c r="D84" s="116">
        <f t="shared" si="1"/>
        <v>4.4625311665367517</v>
      </c>
      <c r="E84" s="116"/>
      <c r="F84" s="115">
        <v>1.4096757755963583</v>
      </c>
      <c r="G84" s="115">
        <v>3.1254046212695323</v>
      </c>
      <c r="H84" s="115">
        <v>4.4625311665367517</v>
      </c>
      <c r="I84" s="115">
        <v>3.8544000000000014</v>
      </c>
      <c r="J84" s="63"/>
      <c r="K84" s="60"/>
    </row>
    <row r="85" spans="2:11" ht="15" x14ac:dyDescent="0.25">
      <c r="B85" s="117">
        <v>36982</v>
      </c>
      <c r="C85" s="117">
        <v>37012</v>
      </c>
      <c r="D85" s="116">
        <f t="shared" si="1"/>
        <v>4.4403295189420424</v>
      </c>
      <c r="E85" s="116"/>
      <c r="F85" s="115">
        <v>1.4075644289529292</v>
      </c>
      <c r="G85" s="115">
        <v>3.1207235359655852</v>
      </c>
      <c r="H85" s="115">
        <v>4.4403295189420424</v>
      </c>
      <c r="I85" s="115">
        <v>3.8425000000000016</v>
      </c>
      <c r="J85" s="63"/>
      <c r="K85" s="60"/>
    </row>
    <row r="86" spans="2:11" ht="15" x14ac:dyDescent="0.25">
      <c r="B86" s="117">
        <v>37012</v>
      </c>
      <c r="C86" s="117">
        <v>37043</v>
      </c>
      <c r="D86" s="116">
        <f t="shared" si="1"/>
        <v>4.4186779967579293</v>
      </c>
      <c r="E86" s="116"/>
      <c r="F86" s="115">
        <v>1.4050353652953964</v>
      </c>
      <c r="G86" s="115">
        <v>3.1151163265777422</v>
      </c>
      <c r="H86" s="115">
        <v>4.4186779967579293</v>
      </c>
      <c r="I86" s="115">
        <v>3.8291000000000008</v>
      </c>
      <c r="J86" s="63"/>
      <c r="K86" s="60"/>
    </row>
    <row r="87" spans="2:11" ht="15" x14ac:dyDescent="0.25">
      <c r="B87" s="117">
        <v>37043</v>
      </c>
      <c r="C87" s="117">
        <v>37073</v>
      </c>
      <c r="D87" s="116">
        <f t="shared" si="1"/>
        <v>4.4019505845366895</v>
      </c>
      <c r="E87" s="116"/>
      <c r="F87" s="115">
        <v>1.4029309688421332</v>
      </c>
      <c r="G87" s="115">
        <v>3.1104506506018397</v>
      </c>
      <c r="H87" s="115">
        <v>4.4019505845366895</v>
      </c>
      <c r="I87" s="115">
        <v>3.8164000000000011</v>
      </c>
      <c r="J87" s="63"/>
      <c r="K87" s="60"/>
    </row>
    <row r="88" spans="2:11" ht="15" x14ac:dyDescent="0.25">
      <c r="B88" s="117">
        <v>37073</v>
      </c>
      <c r="C88" s="117">
        <v>37104</v>
      </c>
      <c r="D88" s="116">
        <f t="shared" si="1"/>
        <v>4.360957583254101</v>
      </c>
      <c r="E88" s="116"/>
      <c r="F88" s="115">
        <v>1.3995719960516102</v>
      </c>
      <c r="G88" s="115">
        <v>3.1030034423402251</v>
      </c>
      <c r="H88" s="115">
        <v>4.360957583254101</v>
      </c>
      <c r="I88" s="115">
        <v>3.8014000000000006</v>
      </c>
      <c r="J88" s="63"/>
      <c r="K88" s="60"/>
    </row>
    <row r="89" spans="2:11" ht="15" x14ac:dyDescent="0.25">
      <c r="B89" s="117">
        <v>37104</v>
      </c>
      <c r="C89" s="117">
        <v>37135</v>
      </c>
      <c r="D89" s="116">
        <f t="shared" si="1"/>
        <v>4.3100984218759644</v>
      </c>
      <c r="E89" s="116"/>
      <c r="F89" s="115">
        <v>1.3948295754949256</v>
      </c>
      <c r="G89" s="115">
        <v>3.0924889798088708</v>
      </c>
      <c r="H89" s="115">
        <v>4.3100984218759644</v>
      </c>
      <c r="I89" s="115">
        <v>3.7854000000000005</v>
      </c>
      <c r="J89" s="63"/>
      <c r="K89" s="60"/>
    </row>
    <row r="90" spans="2:11" ht="15" x14ac:dyDescent="0.25">
      <c r="B90" s="117">
        <v>37135</v>
      </c>
      <c r="C90" s="117">
        <v>37165</v>
      </c>
      <c r="D90" s="116">
        <f t="shared" si="1"/>
        <v>4.293782050085639</v>
      </c>
      <c r="E90" s="116"/>
      <c r="F90" s="115">
        <v>1.3926014132337499</v>
      </c>
      <c r="G90" s="115">
        <v>3.0875489015663606</v>
      </c>
      <c r="H90" s="115">
        <v>4.293782050085639</v>
      </c>
      <c r="I90" s="115">
        <v>3.7722000000000002</v>
      </c>
      <c r="J90" s="63"/>
      <c r="K90" s="60"/>
    </row>
    <row r="91" spans="2:11" ht="15" x14ac:dyDescent="0.25">
      <c r="B91" s="117">
        <v>37165</v>
      </c>
      <c r="C91" s="117">
        <v>37196</v>
      </c>
      <c r="D91" s="116">
        <f t="shared" si="1"/>
        <v>4.2779536216854028</v>
      </c>
      <c r="E91" s="116"/>
      <c r="F91" s="115">
        <v>1.3885745470473099</v>
      </c>
      <c r="G91" s="115">
        <v>3.078620900953589</v>
      </c>
      <c r="H91" s="115">
        <v>4.2779536216854028</v>
      </c>
      <c r="I91" s="115">
        <v>3.7569000000000004</v>
      </c>
      <c r="J91" s="63"/>
      <c r="K91" s="60"/>
    </row>
    <row r="92" spans="2:11" ht="15" x14ac:dyDescent="0.25">
      <c r="B92" s="117">
        <v>37196</v>
      </c>
      <c r="C92" s="117">
        <v>37226</v>
      </c>
      <c r="D92" s="116">
        <f t="shared" si="1"/>
        <v>4.236017052862068</v>
      </c>
      <c r="E92" s="116"/>
      <c r="F92" s="115">
        <v>1.3859412586558657</v>
      </c>
      <c r="G92" s="115">
        <v>3.0727826139870182</v>
      </c>
      <c r="H92" s="115">
        <v>4.236017052862068</v>
      </c>
      <c r="I92" s="115">
        <v>3.7429999999999999</v>
      </c>
      <c r="J92" s="63"/>
      <c r="K92" s="60"/>
    </row>
    <row r="93" spans="2:11" ht="15" x14ac:dyDescent="0.25">
      <c r="B93" s="117">
        <v>37226</v>
      </c>
      <c r="C93" s="117">
        <v>37257</v>
      </c>
      <c r="D93" s="116">
        <f t="shared" si="1"/>
        <v>4.2128463976748556</v>
      </c>
      <c r="E93" s="116"/>
      <c r="F93" s="115">
        <v>1.3831749088381886</v>
      </c>
      <c r="G93" s="115">
        <v>3.0666493153563041</v>
      </c>
      <c r="H93" s="115">
        <v>4.2128463976748556</v>
      </c>
      <c r="I93" s="115">
        <v>3.7291000000000003</v>
      </c>
      <c r="J93" s="63"/>
      <c r="K93" s="60"/>
    </row>
    <row r="94" spans="2:11" ht="15" x14ac:dyDescent="0.25">
      <c r="B94" s="117">
        <v>37257</v>
      </c>
      <c r="C94" s="117">
        <v>37288</v>
      </c>
      <c r="D94" s="116">
        <f t="shared" si="1"/>
        <v>4.1868876939722277</v>
      </c>
      <c r="E94" s="116"/>
      <c r="F94" s="115">
        <v>1.3795879800899571</v>
      </c>
      <c r="G94" s="115">
        <v>3.0586967039261017</v>
      </c>
      <c r="H94" s="115">
        <v>4.1868876939722277</v>
      </c>
      <c r="I94" s="115">
        <v>3.7138000000000004</v>
      </c>
      <c r="J94" s="63"/>
      <c r="K94" s="60"/>
    </row>
    <row r="95" spans="2:11" ht="15" x14ac:dyDescent="0.25">
      <c r="B95" s="117">
        <v>37288</v>
      </c>
      <c r="C95" s="117">
        <v>37316</v>
      </c>
      <c r="D95" s="116">
        <f t="shared" si="1"/>
        <v>4.1685460911710752</v>
      </c>
      <c r="E95" s="116"/>
      <c r="F95" s="115">
        <v>1.3779344587394715</v>
      </c>
      <c r="G95" s="115">
        <v>3.0550306671255547</v>
      </c>
      <c r="H95" s="115">
        <v>4.1685460911710752</v>
      </c>
      <c r="I95" s="115">
        <v>3.7013000000000011</v>
      </c>
      <c r="J95" s="63"/>
      <c r="K95" s="60"/>
    </row>
    <row r="96" spans="2:11" ht="15" x14ac:dyDescent="0.25">
      <c r="B96" s="117">
        <v>37316</v>
      </c>
      <c r="C96" s="117">
        <v>37347</v>
      </c>
      <c r="D96" s="116">
        <f t="shared" si="1"/>
        <v>4.1519383378197956</v>
      </c>
      <c r="E96" s="116"/>
      <c r="F96" s="115">
        <v>1.3754586331997143</v>
      </c>
      <c r="G96" s="115">
        <v>3.0495414924391691</v>
      </c>
      <c r="H96" s="115">
        <v>4.1519383378197956</v>
      </c>
      <c r="I96" s="115">
        <v>3.6876000000000011</v>
      </c>
      <c r="J96" s="63"/>
      <c r="K96" s="60"/>
    </row>
    <row r="97" spans="2:11" ht="15" x14ac:dyDescent="0.25">
      <c r="B97" s="117">
        <v>37347</v>
      </c>
      <c r="C97" s="117">
        <v>37377</v>
      </c>
      <c r="D97" s="116">
        <f t="shared" si="1"/>
        <v>4.1198038676521094</v>
      </c>
      <c r="E97" s="116"/>
      <c r="F97" s="115">
        <v>1.3721654361529483</v>
      </c>
      <c r="G97" s="115">
        <v>3.0422401161603867</v>
      </c>
      <c r="H97" s="115">
        <v>4.1198038676521094</v>
      </c>
      <c r="I97" s="115">
        <v>3.672800000000001</v>
      </c>
      <c r="J97" s="63"/>
      <c r="K97" s="60"/>
    </row>
    <row r="98" spans="2:11" ht="15" x14ac:dyDescent="0.25">
      <c r="B98" s="117">
        <v>37377</v>
      </c>
      <c r="C98" s="117">
        <v>37408</v>
      </c>
      <c r="D98" s="116">
        <f t="shared" si="1"/>
        <v>4.1025730607967628</v>
      </c>
      <c r="E98" s="116"/>
      <c r="F98" s="115">
        <v>1.3692899273056049</v>
      </c>
      <c r="G98" s="115">
        <v>3.0358648000802151</v>
      </c>
      <c r="H98" s="115">
        <v>4.1025730607967628</v>
      </c>
      <c r="I98" s="115">
        <v>3.658700000000001</v>
      </c>
      <c r="J98" s="63"/>
      <c r="K98" s="60"/>
    </row>
    <row r="99" spans="2:11" ht="15" x14ac:dyDescent="0.25">
      <c r="B99" s="117">
        <v>37408</v>
      </c>
      <c r="C99" s="117">
        <v>37438</v>
      </c>
      <c r="D99" s="116">
        <f t="shared" si="1"/>
        <v>4.0890790997675293</v>
      </c>
      <c r="E99" s="116"/>
      <c r="F99" s="115">
        <v>1.3671025632044793</v>
      </c>
      <c r="G99" s="115">
        <v>3.0310151757989399</v>
      </c>
      <c r="H99" s="115">
        <v>4.0890790997675293</v>
      </c>
      <c r="I99" s="115">
        <v>3.6454000000000009</v>
      </c>
      <c r="J99" s="63"/>
      <c r="K99" s="60"/>
    </row>
    <row r="100" spans="2:11" ht="15" x14ac:dyDescent="0.25">
      <c r="B100" s="117">
        <v>37438</v>
      </c>
      <c r="C100" s="117">
        <v>37469</v>
      </c>
      <c r="D100" s="116">
        <f t="shared" si="1"/>
        <v>4.0578337796641151</v>
      </c>
      <c r="E100" s="116"/>
      <c r="F100" s="115">
        <v>1.3634811572508216</v>
      </c>
      <c r="G100" s="115">
        <v>3.0229861246518657</v>
      </c>
      <c r="H100" s="115">
        <v>4.0578337796641151</v>
      </c>
      <c r="I100" s="115">
        <v>3.6300000000000012</v>
      </c>
      <c r="J100" s="63"/>
      <c r="K100" s="60"/>
    </row>
    <row r="101" spans="2:11" ht="15" x14ac:dyDescent="0.25">
      <c r="B101" s="117">
        <v>37469</v>
      </c>
      <c r="C101" s="117">
        <v>37500</v>
      </c>
      <c r="D101" s="116">
        <f t="shared" si="1"/>
        <v>4.0176572075882326</v>
      </c>
      <c r="E101" s="116"/>
      <c r="F101" s="115">
        <v>1.3601067324476195</v>
      </c>
      <c r="G101" s="115">
        <v>3.0155046575963698</v>
      </c>
      <c r="H101" s="115">
        <v>4.0176572075882326</v>
      </c>
      <c r="I101" s="115">
        <v>3.615600000000001</v>
      </c>
      <c r="J101" s="63"/>
      <c r="K101" s="60"/>
    </row>
    <row r="102" spans="2:11" ht="15" x14ac:dyDescent="0.25">
      <c r="B102" s="117">
        <v>37500</v>
      </c>
      <c r="C102" s="117">
        <v>37530</v>
      </c>
      <c r="D102" s="116">
        <f t="shared" si="1"/>
        <v>3.9929012200240837</v>
      </c>
      <c r="E102" s="116"/>
      <c r="F102" s="115">
        <v>1.3574529120046519</v>
      </c>
      <c r="G102" s="115">
        <v>3.0096208488368972</v>
      </c>
      <c r="H102" s="115">
        <v>3.9929012200240837</v>
      </c>
      <c r="I102" s="115">
        <v>3.6018000000000012</v>
      </c>
      <c r="J102" s="63"/>
      <c r="K102" s="60"/>
    </row>
    <row r="103" spans="2:11" ht="15" x14ac:dyDescent="0.25">
      <c r="B103" s="117">
        <v>37530</v>
      </c>
      <c r="C103" s="117">
        <v>37561</v>
      </c>
      <c r="D103" s="116">
        <f t="shared" si="1"/>
        <v>3.957285649181451</v>
      </c>
      <c r="E103" s="116"/>
      <c r="F103" s="115">
        <v>1.3537058542002232</v>
      </c>
      <c r="G103" s="115">
        <v>3.0013132138609242</v>
      </c>
      <c r="H103" s="115">
        <v>3.957285649181451</v>
      </c>
      <c r="I103" s="115">
        <v>3.5853000000000006</v>
      </c>
      <c r="J103" s="63"/>
      <c r="K103" s="60"/>
    </row>
    <row r="104" spans="2:11" ht="15" x14ac:dyDescent="0.25">
      <c r="B104" s="117">
        <v>37561</v>
      </c>
      <c r="C104" s="117">
        <v>37591</v>
      </c>
      <c r="D104" s="116">
        <f t="shared" si="1"/>
        <v>3.8766513020978168</v>
      </c>
      <c r="E104" s="116"/>
      <c r="F104" s="115">
        <v>1.3501360943667176</v>
      </c>
      <c r="G104" s="115">
        <v>2.9933986677833055</v>
      </c>
      <c r="H104" s="115">
        <v>3.8766513020978168</v>
      </c>
      <c r="I104" s="115">
        <v>3.5699000000000018</v>
      </c>
      <c r="J104" s="63"/>
      <c r="K104" s="60"/>
    </row>
    <row r="105" spans="2:11" ht="15" x14ac:dyDescent="0.25">
      <c r="B105" s="117">
        <v>37591</v>
      </c>
      <c r="C105" s="117">
        <v>37622</v>
      </c>
      <c r="D105" s="116">
        <f t="shared" si="1"/>
        <v>3.7619129569120009</v>
      </c>
      <c r="E105" s="116"/>
      <c r="F105" s="115">
        <v>1.3452809753267649</v>
      </c>
      <c r="G105" s="115">
        <v>2.9826343404486297</v>
      </c>
      <c r="H105" s="115">
        <v>3.7619129569120009</v>
      </c>
      <c r="I105" s="115">
        <v>3.5525000000000024</v>
      </c>
      <c r="J105" s="63"/>
      <c r="K105" s="60"/>
    </row>
    <row r="106" spans="2:11" ht="15" x14ac:dyDescent="0.25">
      <c r="B106" s="117">
        <v>37622</v>
      </c>
      <c r="C106" s="117">
        <v>37653</v>
      </c>
      <c r="D106" s="116">
        <f t="shared" si="1"/>
        <v>3.68887326624044</v>
      </c>
      <c r="E106" s="116"/>
      <c r="F106" s="115">
        <v>1.3387505501431665</v>
      </c>
      <c r="G106" s="115">
        <v>2.9681556770559512</v>
      </c>
      <c r="H106" s="115">
        <v>3.68887326624044</v>
      </c>
      <c r="I106" s="115">
        <v>3.5328000000000022</v>
      </c>
      <c r="J106" s="63"/>
      <c r="K106" s="60"/>
    </row>
    <row r="107" spans="2:11" ht="15" x14ac:dyDescent="0.25">
      <c r="B107" s="117">
        <v>37653</v>
      </c>
      <c r="C107" s="117">
        <v>37681</v>
      </c>
      <c r="D107" s="116">
        <f t="shared" si="1"/>
        <v>3.6098182466390449</v>
      </c>
      <c r="E107" s="116"/>
      <c r="F107" s="115">
        <v>1.3332628402925235</v>
      </c>
      <c r="G107" s="115">
        <v>2.955988827043841</v>
      </c>
      <c r="H107" s="115">
        <v>3.6098182466390449</v>
      </c>
      <c r="I107" s="115">
        <v>3.5145000000000022</v>
      </c>
      <c r="J107" s="63"/>
      <c r="K107" s="60"/>
    </row>
    <row r="108" spans="2:11" ht="15" x14ac:dyDescent="0.25">
      <c r="B108" s="117">
        <v>37681</v>
      </c>
      <c r="C108" s="117">
        <v>37712</v>
      </c>
      <c r="D108" s="116">
        <f t="shared" si="1"/>
        <v>3.5691301627833147</v>
      </c>
      <c r="E108" s="116"/>
      <c r="F108" s="115">
        <v>1.3282394387352285</v>
      </c>
      <c r="G108" s="115">
        <v>2.9448513990526273</v>
      </c>
      <c r="H108" s="115">
        <v>3.5691301627833147</v>
      </c>
      <c r="I108" s="115">
        <v>3.4967000000000028</v>
      </c>
      <c r="J108" s="63"/>
      <c r="K108" s="60"/>
    </row>
    <row r="109" spans="2:11" ht="15" x14ac:dyDescent="0.25">
      <c r="B109" s="117">
        <v>37712</v>
      </c>
      <c r="C109" s="117">
        <v>37742</v>
      </c>
      <c r="D109" s="116">
        <f t="shared" si="1"/>
        <v>3.5289006948618891</v>
      </c>
      <c r="E109" s="116"/>
      <c r="F109" s="115">
        <v>1.3227052400110215</v>
      </c>
      <c r="G109" s="115">
        <v>2.9325814781480539</v>
      </c>
      <c r="H109" s="115">
        <v>3.5289006948618891</v>
      </c>
      <c r="I109" s="115">
        <v>3.4780000000000029</v>
      </c>
      <c r="J109" s="63"/>
      <c r="K109" s="60"/>
    </row>
    <row r="110" spans="2:11" ht="15" x14ac:dyDescent="0.25">
      <c r="B110" s="117">
        <v>37742</v>
      </c>
      <c r="C110" s="117">
        <v>37773</v>
      </c>
      <c r="D110" s="116">
        <f t="shared" si="1"/>
        <v>3.4991578531104506</v>
      </c>
      <c r="E110" s="116"/>
      <c r="F110" s="115">
        <v>1.316583128463664</v>
      </c>
      <c r="G110" s="115">
        <v>2.9190080905270994</v>
      </c>
      <c r="H110" s="115">
        <v>3.4991578531104506</v>
      </c>
      <c r="I110" s="115">
        <v>3.4583000000000026</v>
      </c>
      <c r="J110" s="63"/>
      <c r="K110" s="60"/>
    </row>
    <row r="111" spans="2:11" ht="15" x14ac:dyDescent="0.25">
      <c r="B111" s="117">
        <v>37773</v>
      </c>
      <c r="C111" s="117">
        <v>37803</v>
      </c>
      <c r="D111" s="116">
        <f t="shared" si="1"/>
        <v>3.4914766045803738</v>
      </c>
      <c r="E111" s="116"/>
      <c r="F111" s="115">
        <v>1.311120998384397</v>
      </c>
      <c r="G111" s="115">
        <v>2.9068979536521899</v>
      </c>
      <c r="H111" s="115">
        <v>3.4914766045803738</v>
      </c>
      <c r="I111" s="115">
        <v>3.4397000000000024</v>
      </c>
      <c r="J111" s="63"/>
      <c r="K111" s="60"/>
    </row>
    <row r="112" spans="2:11" ht="15" x14ac:dyDescent="0.25">
      <c r="B112" s="117">
        <v>37803</v>
      </c>
      <c r="C112" s="117">
        <v>37834</v>
      </c>
      <c r="D112" s="116">
        <f t="shared" si="1"/>
        <v>3.4977725952518273</v>
      </c>
      <c r="E112" s="116"/>
      <c r="F112" s="115">
        <v>1.3039946675263663</v>
      </c>
      <c r="G112" s="115">
        <v>2.8910981025219096</v>
      </c>
      <c r="H112" s="115">
        <v>3.4977725952518273</v>
      </c>
      <c r="I112" s="115">
        <v>3.418900000000002</v>
      </c>
      <c r="J112" s="63"/>
      <c r="K112" s="60"/>
    </row>
    <row r="113" spans="2:11" ht="15" x14ac:dyDescent="0.25">
      <c r="B113" s="117">
        <v>37834</v>
      </c>
      <c r="C113" s="117">
        <v>37865</v>
      </c>
      <c r="D113" s="116">
        <f t="shared" si="1"/>
        <v>3.4883540393455945</v>
      </c>
      <c r="E113" s="116"/>
      <c r="F113" s="115">
        <v>1.2987503137594072</v>
      </c>
      <c r="G113" s="115">
        <v>2.8794707994337991</v>
      </c>
      <c r="H113" s="115">
        <v>3.4883540393455945</v>
      </c>
      <c r="I113" s="115">
        <v>3.4012000000000016</v>
      </c>
      <c r="J113" s="63"/>
      <c r="K113" s="60"/>
    </row>
    <row r="114" spans="2:11" ht="15" x14ac:dyDescent="0.25">
      <c r="B114" s="117">
        <v>37865</v>
      </c>
      <c r="C114" s="117">
        <v>37895</v>
      </c>
      <c r="D114" s="116">
        <f t="shared" si="1"/>
        <v>3.4685831155867497</v>
      </c>
      <c r="E114" s="116"/>
      <c r="F114" s="115">
        <v>1.2943959657306909</v>
      </c>
      <c r="G114" s="115">
        <v>2.8698167359341209</v>
      </c>
      <c r="H114" s="115">
        <v>3.4685831155867497</v>
      </c>
      <c r="I114" s="115">
        <v>3.3844000000000025</v>
      </c>
      <c r="J114" s="63"/>
      <c r="K114" s="60"/>
    </row>
    <row r="115" spans="2:11" ht="15" x14ac:dyDescent="0.25">
      <c r="B115" s="117">
        <v>37895</v>
      </c>
      <c r="C115" s="117">
        <v>37926</v>
      </c>
      <c r="D115" s="116">
        <f t="shared" si="1"/>
        <v>3.4458405678390123</v>
      </c>
      <c r="E115" s="116"/>
      <c r="F115" s="115">
        <v>1.2902503912236905</v>
      </c>
      <c r="G115" s="115">
        <v>2.8606255460546497</v>
      </c>
      <c r="H115" s="115">
        <v>3.4458405678390123</v>
      </c>
      <c r="I115" s="115">
        <v>3.3680000000000025</v>
      </c>
      <c r="J115" s="63"/>
      <c r="K115" s="60"/>
    </row>
    <row r="116" spans="2:11" ht="15" x14ac:dyDescent="0.25">
      <c r="B116" s="117">
        <v>37926</v>
      </c>
      <c r="C116" s="117">
        <v>37956</v>
      </c>
      <c r="D116" s="116">
        <f t="shared" si="1"/>
        <v>3.4399925804522433</v>
      </c>
      <c r="E116" s="116"/>
      <c r="F116" s="115">
        <v>1.287962968990765</v>
      </c>
      <c r="G116" s="115">
        <v>2.8555540820050136</v>
      </c>
      <c r="H116" s="115">
        <v>3.4399925804522433</v>
      </c>
      <c r="I116" s="115">
        <v>3.3546000000000027</v>
      </c>
      <c r="J116" s="63"/>
      <c r="K116" s="60"/>
    </row>
    <row r="117" spans="2:11" ht="15" x14ac:dyDescent="0.25">
      <c r="B117" s="117">
        <v>37956</v>
      </c>
      <c r="C117" s="117">
        <v>37987</v>
      </c>
      <c r="D117" s="116">
        <f t="shared" si="1"/>
        <v>3.4242410715232365</v>
      </c>
      <c r="E117" s="116"/>
      <c r="F117" s="115">
        <v>1.28552176316252</v>
      </c>
      <c r="G117" s="115">
        <v>2.8501416629870024</v>
      </c>
      <c r="H117" s="115">
        <v>3.4242410715232365</v>
      </c>
      <c r="I117" s="115">
        <v>3.3409000000000026</v>
      </c>
      <c r="J117" s="63"/>
      <c r="K117" s="60"/>
    </row>
    <row r="118" spans="2:11" ht="15" x14ac:dyDescent="0.25">
      <c r="B118" s="117">
        <v>37987</v>
      </c>
      <c r="C118" s="117">
        <v>38018</v>
      </c>
      <c r="D118" s="116">
        <f t="shared" si="1"/>
        <v>3.4011134997251062</v>
      </c>
      <c r="E118" s="116"/>
      <c r="F118" s="115">
        <v>1.283878398812043</v>
      </c>
      <c r="G118" s="115">
        <v>2.8464981453609464</v>
      </c>
      <c r="H118" s="115">
        <v>3.4011134997251062</v>
      </c>
      <c r="I118" s="115">
        <v>3.3282000000000029</v>
      </c>
      <c r="J118" s="63"/>
      <c r="K118" s="60"/>
    </row>
    <row r="119" spans="2:11" ht="15" x14ac:dyDescent="0.25">
      <c r="B119" s="117">
        <v>38018</v>
      </c>
      <c r="C119" s="117">
        <v>38047</v>
      </c>
      <c r="D119" s="116">
        <f t="shared" si="1"/>
        <v>3.3707765111249817</v>
      </c>
      <c r="E119" s="116"/>
      <c r="F119" s="115">
        <v>1.283290651693566</v>
      </c>
      <c r="G119" s="115">
        <v>2.8451950460298612</v>
      </c>
      <c r="H119" s="115">
        <v>3.3707765111249817</v>
      </c>
      <c r="I119" s="115">
        <v>3.3174000000000023</v>
      </c>
      <c r="J119" s="63"/>
      <c r="K119" s="60"/>
    </row>
    <row r="120" spans="2:11" ht="15" x14ac:dyDescent="0.25">
      <c r="B120" s="117">
        <v>38047</v>
      </c>
      <c r="C120" s="117">
        <v>38078</v>
      </c>
      <c r="D120" s="116">
        <f t="shared" si="1"/>
        <v>3.3573471226344438</v>
      </c>
      <c r="E120" s="116"/>
      <c r="F120" s="115">
        <v>1.281013010560786</v>
      </c>
      <c r="G120" s="115">
        <v>2.8401452677438068</v>
      </c>
      <c r="H120" s="115">
        <v>3.3573471226344438</v>
      </c>
      <c r="I120" s="115">
        <v>3.3036000000000025</v>
      </c>
      <c r="J120" s="63"/>
      <c r="K120" s="60"/>
    </row>
    <row r="121" spans="2:11" ht="15" x14ac:dyDescent="0.25">
      <c r="B121" s="117">
        <v>38078</v>
      </c>
      <c r="C121" s="117">
        <v>38108</v>
      </c>
      <c r="D121" s="116">
        <f t="shared" si="1"/>
        <v>3.3503114685504878</v>
      </c>
      <c r="E121" s="116"/>
      <c r="F121" s="115">
        <v>1.2798943828701601</v>
      </c>
      <c r="G121" s="115">
        <v>2.8376651484041071</v>
      </c>
      <c r="H121" s="115">
        <v>3.3503114685504878</v>
      </c>
      <c r="I121" s="115">
        <v>3.2918000000000025</v>
      </c>
      <c r="J121" s="63"/>
      <c r="K121" s="60"/>
    </row>
    <row r="122" spans="2:11" ht="15" x14ac:dyDescent="0.25">
      <c r="B122" s="117">
        <v>38108</v>
      </c>
      <c r="C122" s="117">
        <v>38139</v>
      </c>
      <c r="D122" s="116">
        <f t="shared" si="1"/>
        <v>3.3323169569827806</v>
      </c>
      <c r="E122" s="116"/>
      <c r="F122" s="115">
        <v>1.2779187205282208</v>
      </c>
      <c r="G122" s="115">
        <v>2.8332848899642165</v>
      </c>
      <c r="H122" s="115">
        <v>3.3323169569827806</v>
      </c>
      <c r="I122" s="115">
        <v>3.2795000000000027</v>
      </c>
      <c r="J122" s="63"/>
      <c r="K122" s="60"/>
    </row>
    <row r="123" spans="2:11" ht="15" x14ac:dyDescent="0.25">
      <c r="B123" s="117">
        <v>38139</v>
      </c>
      <c r="C123" s="117">
        <v>38169</v>
      </c>
      <c r="D123" s="116">
        <f t="shared" si="1"/>
        <v>3.3137599015341892</v>
      </c>
      <c r="E123" s="116"/>
      <c r="F123" s="115">
        <v>1.2756722616754117</v>
      </c>
      <c r="G123" s="115">
        <v>2.828304246186685</v>
      </c>
      <c r="H123" s="115">
        <v>3.3137599015341892</v>
      </c>
      <c r="I123" s="115">
        <v>3.2672000000000021</v>
      </c>
      <c r="J123" s="63"/>
      <c r="K123" s="60"/>
    </row>
    <row r="124" spans="2:11" ht="15" x14ac:dyDescent="0.25">
      <c r="B124" s="117">
        <v>38169</v>
      </c>
      <c r="C124" s="117">
        <v>38200</v>
      </c>
      <c r="D124" s="116">
        <f t="shared" si="1"/>
        <v>3.2832259006580689</v>
      </c>
      <c r="E124" s="116"/>
      <c r="F124" s="115">
        <v>1.2731870006501431</v>
      </c>
      <c r="G124" s="115">
        <v>2.8227941520019781</v>
      </c>
      <c r="H124" s="115">
        <v>3.2832259006580689</v>
      </c>
      <c r="I124" s="115">
        <v>3.254300000000002</v>
      </c>
      <c r="J124" s="63"/>
      <c r="K124" s="60"/>
    </row>
    <row r="125" spans="2:11" ht="15" x14ac:dyDescent="0.25">
      <c r="B125" s="117">
        <v>38200</v>
      </c>
      <c r="C125" s="117">
        <v>38231</v>
      </c>
      <c r="D125" s="116">
        <f t="shared" si="1"/>
        <v>3.2574917161008718</v>
      </c>
      <c r="E125" s="116"/>
      <c r="F125" s="115">
        <v>1.2706393687158675</v>
      </c>
      <c r="G125" s="115">
        <v>2.8171457747236559</v>
      </c>
      <c r="H125" s="115">
        <v>3.2574917161008718</v>
      </c>
      <c r="I125" s="115">
        <v>3.2414000000000018</v>
      </c>
      <c r="J125" s="63"/>
      <c r="K125" s="60"/>
    </row>
    <row r="126" spans="2:11" ht="15" x14ac:dyDescent="0.25">
      <c r="B126" s="117">
        <v>38231</v>
      </c>
      <c r="C126" s="117">
        <v>38261</v>
      </c>
      <c r="D126" s="116">
        <f t="shared" si="1"/>
        <v>3.241607837696161</v>
      </c>
      <c r="E126" s="116"/>
      <c r="F126" s="115">
        <v>1.2684474914506407</v>
      </c>
      <c r="G126" s="115">
        <v>2.812286144266364</v>
      </c>
      <c r="H126" s="115">
        <v>3.241607837696161</v>
      </c>
      <c r="I126" s="115">
        <v>3.2289000000000025</v>
      </c>
      <c r="J126" s="63"/>
      <c r="K126" s="60"/>
    </row>
    <row r="127" spans="2:11" ht="15" x14ac:dyDescent="0.25">
      <c r="B127" s="117">
        <v>38261</v>
      </c>
      <c r="C127" s="117">
        <v>38292</v>
      </c>
      <c r="D127" s="116">
        <f t="shared" si="1"/>
        <v>3.2312677807976082</v>
      </c>
      <c r="E127" s="116"/>
      <c r="F127" s="115">
        <v>1.2670436071339377</v>
      </c>
      <c r="G127" s="115">
        <v>2.8091735799397934</v>
      </c>
      <c r="H127" s="115">
        <v>3.2312677807976082</v>
      </c>
      <c r="I127" s="115">
        <v>3.2168000000000023</v>
      </c>
      <c r="J127" s="63"/>
      <c r="K127" s="60"/>
    </row>
    <row r="128" spans="2:11" ht="15" x14ac:dyDescent="0.25">
      <c r="B128" s="117">
        <v>38292</v>
      </c>
      <c r="C128" s="117">
        <v>38322</v>
      </c>
      <c r="D128" s="116">
        <f t="shared" si="1"/>
        <v>3.2110382398863244</v>
      </c>
      <c r="E128" s="116"/>
      <c r="F128" s="115">
        <v>1.2655932372840095</v>
      </c>
      <c r="G128" s="115">
        <v>2.8059579521266551</v>
      </c>
      <c r="H128" s="115">
        <v>3.2110382398863244</v>
      </c>
      <c r="I128" s="115">
        <v>3.2043000000000021</v>
      </c>
      <c r="J128" s="63"/>
      <c r="K128" s="60"/>
    </row>
    <row r="129" spans="2:11" ht="15" x14ac:dyDescent="0.25">
      <c r="B129" s="117">
        <v>38322</v>
      </c>
      <c r="C129" s="117">
        <v>38353</v>
      </c>
      <c r="D129" s="116">
        <f t="shared" si="1"/>
        <v>3.1842902021879458</v>
      </c>
      <c r="E129" s="116"/>
      <c r="F129" s="115">
        <v>1.262563085877902</v>
      </c>
      <c r="G129" s="115">
        <v>2.7992397766626635</v>
      </c>
      <c r="H129" s="115">
        <v>3.1842902021879458</v>
      </c>
      <c r="I129" s="115">
        <v>3.189500000000002</v>
      </c>
      <c r="J129" s="63"/>
      <c r="K129" s="60"/>
    </row>
    <row r="130" spans="2:11" ht="15" x14ac:dyDescent="0.25">
      <c r="B130" s="117">
        <v>38353</v>
      </c>
      <c r="C130" s="117">
        <v>38384</v>
      </c>
      <c r="D130" s="116">
        <f t="shared" si="1"/>
        <v>3.162783275911746</v>
      </c>
      <c r="E130" s="116"/>
      <c r="F130" s="115">
        <v>1.2601939213058448</v>
      </c>
      <c r="G130" s="115">
        <v>2.7939870809504712</v>
      </c>
      <c r="H130" s="115">
        <v>3.162783275911746</v>
      </c>
      <c r="I130" s="115">
        <v>3.1757000000000013</v>
      </c>
      <c r="J130" s="63"/>
      <c r="K130" s="60"/>
    </row>
    <row r="131" spans="2:11" ht="15" x14ac:dyDescent="0.25">
      <c r="B131" s="117">
        <v>38384</v>
      </c>
      <c r="C131" s="117">
        <v>38412</v>
      </c>
      <c r="D131" s="116">
        <f t="shared" ref="D131:D194" si="2">VLOOKUP(C131,C:I,IF(índice_cm=1,4,IF(índice_cm=2,5,IF(índice_cm=3,6,7))),0)</f>
        <v>3.1395506014609347</v>
      </c>
      <c r="E131" s="116"/>
      <c r="F131" s="115">
        <v>1.2589827798716107</v>
      </c>
      <c r="G131" s="115">
        <v>2.7913018485721501</v>
      </c>
      <c r="H131" s="115">
        <v>3.1395506014609347</v>
      </c>
      <c r="I131" s="115">
        <v>3.1635000000000013</v>
      </c>
      <c r="J131" s="63"/>
      <c r="K131" s="60"/>
    </row>
    <row r="132" spans="2:11" ht="15" x14ac:dyDescent="0.25">
      <c r="B132" s="117">
        <v>38412</v>
      </c>
      <c r="C132" s="117">
        <v>38443</v>
      </c>
      <c r="D132" s="116">
        <f t="shared" si="2"/>
        <v>3.1286004997119425</v>
      </c>
      <c r="E132" s="116"/>
      <c r="F132" s="115">
        <v>1.2556740786743035</v>
      </c>
      <c r="G132" s="115">
        <v>2.7839660979041718</v>
      </c>
      <c r="H132" s="115">
        <v>3.1286004997119425</v>
      </c>
      <c r="I132" s="115">
        <v>3.1482000000000014</v>
      </c>
      <c r="J132" s="63"/>
      <c r="K132" s="60"/>
    </row>
    <row r="133" spans="2:11" ht="15" x14ac:dyDescent="0.25">
      <c r="B133" s="117">
        <v>38443</v>
      </c>
      <c r="C133" s="117">
        <v>38473</v>
      </c>
      <c r="D133" s="116">
        <f t="shared" si="2"/>
        <v>3.1056189197061173</v>
      </c>
      <c r="E133" s="116"/>
      <c r="F133" s="115">
        <v>1.253163991199931</v>
      </c>
      <c r="G133" s="115">
        <v>2.7784009607797326</v>
      </c>
      <c r="H133" s="115">
        <v>3.1056189197061173</v>
      </c>
      <c r="I133" s="115">
        <v>3.1341000000000014</v>
      </c>
      <c r="J133" s="63"/>
      <c r="K133" s="60"/>
    </row>
    <row r="134" spans="2:11" ht="15" x14ac:dyDescent="0.25">
      <c r="B134" s="117">
        <v>38473</v>
      </c>
      <c r="C134" s="117">
        <v>38504</v>
      </c>
      <c r="D134" s="116">
        <f t="shared" si="2"/>
        <v>3.0800544676248314</v>
      </c>
      <c r="E134" s="116"/>
      <c r="F134" s="115">
        <v>1.2500052279888014</v>
      </c>
      <c r="G134" s="115">
        <v>2.771397638946111</v>
      </c>
      <c r="H134" s="115">
        <v>3.0800544676248314</v>
      </c>
      <c r="I134" s="115">
        <v>3.1191000000000018</v>
      </c>
      <c r="J134" s="63"/>
      <c r="K134" s="60"/>
    </row>
    <row r="135" spans="2:11" ht="15" x14ac:dyDescent="0.25">
      <c r="B135" s="117">
        <v>38504</v>
      </c>
      <c r="C135" s="117">
        <v>38534</v>
      </c>
      <c r="D135" s="116">
        <f t="shared" si="2"/>
        <v>3.0763628322261596</v>
      </c>
      <c r="E135" s="116"/>
      <c r="F135" s="115">
        <v>1.2462751265350842</v>
      </c>
      <c r="G135" s="115">
        <v>2.7631275980451671</v>
      </c>
      <c r="H135" s="115">
        <v>3.0763628322261596</v>
      </c>
      <c r="I135" s="115">
        <v>3.1032000000000015</v>
      </c>
      <c r="J135" s="63"/>
      <c r="K135" s="60"/>
    </row>
    <row r="136" spans="2:11" ht="15" x14ac:dyDescent="0.25">
      <c r="B136" s="117">
        <v>38534</v>
      </c>
      <c r="C136" s="117">
        <v>38565</v>
      </c>
      <c r="D136" s="116">
        <f t="shared" si="2"/>
        <v>3.0729825514195976</v>
      </c>
      <c r="E136" s="116"/>
      <c r="F136" s="115">
        <v>1.2430742104431911</v>
      </c>
      <c r="G136" s="115">
        <v>2.7560308186870435</v>
      </c>
      <c r="H136" s="115">
        <v>3.0729825514195976</v>
      </c>
      <c r="I136" s="115">
        <v>3.0881000000000012</v>
      </c>
      <c r="J136" s="63"/>
      <c r="K136" s="60"/>
    </row>
    <row r="137" spans="2:11" ht="15" x14ac:dyDescent="0.25">
      <c r="B137" s="117">
        <v>38565</v>
      </c>
      <c r="C137" s="117">
        <v>38596</v>
      </c>
      <c r="D137" s="116">
        <f t="shared" si="2"/>
        <v>3.0644022251890686</v>
      </c>
      <c r="E137" s="116"/>
      <c r="F137" s="115">
        <v>1.238780596894357</v>
      </c>
      <c r="G137" s="115">
        <v>2.7465114101395045</v>
      </c>
      <c r="H137" s="115">
        <v>3.0644022251890686</v>
      </c>
      <c r="I137" s="115">
        <v>3.0715000000000008</v>
      </c>
      <c r="J137" s="63"/>
      <c r="K137" s="60"/>
    </row>
    <row r="138" spans="2:11" ht="15" x14ac:dyDescent="0.25">
      <c r="B138" s="117">
        <v>38596</v>
      </c>
      <c r="C138" s="117">
        <v>38626</v>
      </c>
      <c r="D138" s="116">
        <f t="shared" si="2"/>
        <v>3.0595070139667215</v>
      </c>
      <c r="E138" s="116"/>
      <c r="F138" s="115">
        <v>1.2355225239985725</v>
      </c>
      <c r="G138" s="115">
        <v>2.7392879079263022</v>
      </c>
      <c r="H138" s="115">
        <v>3.0595070139667215</v>
      </c>
      <c r="I138" s="115">
        <v>3.0565000000000011</v>
      </c>
      <c r="J138" s="63"/>
      <c r="K138" s="60"/>
    </row>
    <row r="139" spans="2:11" ht="15" x14ac:dyDescent="0.25">
      <c r="B139" s="117">
        <v>38626</v>
      </c>
      <c r="C139" s="117">
        <v>38657</v>
      </c>
      <c r="D139" s="116">
        <f t="shared" si="2"/>
        <v>3.0424691865221969</v>
      </c>
      <c r="E139" s="116"/>
      <c r="F139" s="115">
        <v>1.2329333639343116</v>
      </c>
      <c r="G139" s="115">
        <v>2.7335474582639505</v>
      </c>
      <c r="H139" s="115">
        <v>3.0424691865221969</v>
      </c>
      <c r="I139" s="115">
        <v>3.0424000000000011</v>
      </c>
      <c r="J139" s="63"/>
      <c r="K139" s="60"/>
    </row>
    <row r="140" spans="2:11" ht="15" x14ac:dyDescent="0.25">
      <c r="B140" s="117">
        <v>38657</v>
      </c>
      <c r="C140" s="117">
        <v>38687</v>
      </c>
      <c r="D140" s="116">
        <f t="shared" si="2"/>
        <v>3.0189215980573496</v>
      </c>
      <c r="E140" s="116"/>
      <c r="F140" s="115">
        <v>1.2305596144380597</v>
      </c>
      <c r="G140" s="115">
        <v>2.7282845972758034</v>
      </c>
      <c r="H140" s="115">
        <v>3.0189215980573496</v>
      </c>
      <c r="I140" s="115">
        <v>3.0286000000000013</v>
      </c>
      <c r="J140" s="63"/>
      <c r="K140" s="60"/>
    </row>
    <row r="141" spans="2:11" ht="15" x14ac:dyDescent="0.25">
      <c r="B141" s="117">
        <v>38687</v>
      </c>
      <c r="C141" s="117">
        <v>38718</v>
      </c>
      <c r="D141" s="116">
        <f t="shared" si="2"/>
        <v>3.0074931241854448</v>
      </c>
      <c r="E141" s="116"/>
      <c r="F141" s="115">
        <v>1.2277737956956249</v>
      </c>
      <c r="G141" s="115">
        <v>2.722108133919936</v>
      </c>
      <c r="H141" s="115">
        <v>3.0074931241854448</v>
      </c>
      <c r="I141" s="115">
        <v>3.0139000000000009</v>
      </c>
      <c r="J141" s="63"/>
      <c r="K141" s="60"/>
    </row>
    <row r="142" spans="2:11" ht="15" x14ac:dyDescent="0.25">
      <c r="B142" s="117">
        <v>38718</v>
      </c>
      <c r="C142" s="117">
        <v>38749</v>
      </c>
      <c r="D142" s="116">
        <f t="shared" si="2"/>
        <v>2.9922327372255939</v>
      </c>
      <c r="E142" s="116"/>
      <c r="F142" s="115">
        <v>1.224924621027115</v>
      </c>
      <c r="G142" s="115">
        <v>2.7157912035804057</v>
      </c>
      <c r="H142" s="115">
        <v>2.9922327372255939</v>
      </c>
      <c r="I142" s="115">
        <v>2.9996000000000009</v>
      </c>
      <c r="J142" s="63"/>
      <c r="K142" s="60"/>
    </row>
    <row r="143" spans="2:11" ht="15" x14ac:dyDescent="0.25">
      <c r="B143" s="117">
        <v>38749</v>
      </c>
      <c r="C143" s="117">
        <v>38777</v>
      </c>
      <c r="D143" s="116">
        <f t="shared" si="2"/>
        <v>2.9767536184098624</v>
      </c>
      <c r="E143" s="116"/>
      <c r="F143" s="115">
        <v>1.2240371940614181</v>
      </c>
      <c r="G143" s="115">
        <v>2.7138236814113772</v>
      </c>
      <c r="H143" s="115">
        <v>2.9767536184098624</v>
      </c>
      <c r="I143" s="115">
        <v>2.9881000000000011</v>
      </c>
      <c r="J143" s="63"/>
      <c r="K143" s="60"/>
    </row>
    <row r="144" spans="2:11" ht="15" x14ac:dyDescent="0.25">
      <c r="B144" s="117">
        <v>38777</v>
      </c>
      <c r="C144" s="117">
        <v>38808</v>
      </c>
      <c r="D144" s="116">
        <f t="shared" si="2"/>
        <v>2.9657802315531159</v>
      </c>
      <c r="E144" s="116"/>
      <c r="F144" s="115">
        <v>1.2215050141670527</v>
      </c>
      <c r="G144" s="115">
        <v>2.7082095629873111</v>
      </c>
      <c r="H144" s="115">
        <v>2.9657802315531159</v>
      </c>
      <c r="I144" s="115">
        <v>2.9739000000000009</v>
      </c>
      <c r="J144" s="63"/>
      <c r="K144" s="60"/>
    </row>
    <row r="145" spans="2:11" ht="15" x14ac:dyDescent="0.25">
      <c r="B145" s="117">
        <v>38808</v>
      </c>
      <c r="C145" s="117">
        <v>38838</v>
      </c>
      <c r="D145" s="116">
        <f t="shared" si="2"/>
        <v>2.9607469617181947</v>
      </c>
      <c r="E145" s="116"/>
      <c r="F145" s="115">
        <v>1.2204615195678228</v>
      </c>
      <c r="G145" s="115">
        <v>2.7058960218885977</v>
      </c>
      <c r="H145" s="115">
        <v>2.9607469617181947</v>
      </c>
      <c r="I145" s="115">
        <v>2.9631000000000007</v>
      </c>
      <c r="J145" s="63"/>
      <c r="K145" s="60"/>
    </row>
    <row r="146" spans="2:11" ht="15" x14ac:dyDescent="0.25">
      <c r="B146" s="117">
        <v>38838</v>
      </c>
      <c r="C146" s="117">
        <v>38869</v>
      </c>
      <c r="D146" s="116">
        <f t="shared" si="2"/>
        <v>2.952774470647447</v>
      </c>
      <c r="E146" s="116"/>
      <c r="F146" s="115">
        <v>1.218161630409607</v>
      </c>
      <c r="G146" s="115">
        <v>2.7007969173087134</v>
      </c>
      <c r="H146" s="115">
        <v>2.952774470647447</v>
      </c>
      <c r="I146" s="115">
        <v>2.9503000000000008</v>
      </c>
      <c r="J146" s="63"/>
      <c r="K146" s="60"/>
    </row>
    <row r="147" spans="2:11" ht="15" x14ac:dyDescent="0.25">
      <c r="B147" s="117">
        <v>38869</v>
      </c>
      <c r="C147" s="117">
        <v>38899</v>
      </c>
      <c r="D147" s="116">
        <f t="shared" si="2"/>
        <v>2.9572102860765619</v>
      </c>
      <c r="E147" s="116"/>
      <c r="F147" s="115">
        <v>1.2158066130002252</v>
      </c>
      <c r="G147" s="115">
        <v>2.6955755873959264</v>
      </c>
      <c r="H147" s="115">
        <v>2.9572102860765619</v>
      </c>
      <c r="I147" s="115">
        <v>2.9385000000000008</v>
      </c>
      <c r="J147" s="63"/>
      <c r="K147" s="60"/>
    </row>
    <row r="148" spans="2:11" ht="15" x14ac:dyDescent="0.25">
      <c r="B148" s="117">
        <v>38899</v>
      </c>
      <c r="C148" s="117">
        <v>38930</v>
      </c>
      <c r="D148" s="116">
        <f t="shared" si="2"/>
        <v>2.9578018464458511</v>
      </c>
      <c r="E148" s="116"/>
      <c r="F148" s="115">
        <v>1.213681456769421</v>
      </c>
      <c r="G148" s="115">
        <v>2.6908638847337554</v>
      </c>
      <c r="H148" s="115">
        <v>2.9578018464458511</v>
      </c>
      <c r="I148" s="115">
        <v>2.926800000000001</v>
      </c>
      <c r="J148" s="63"/>
      <c r="K148" s="60"/>
    </row>
    <row r="149" spans="2:11" ht="15" x14ac:dyDescent="0.25">
      <c r="B149" s="117">
        <v>38930</v>
      </c>
      <c r="C149" s="117">
        <v>38961</v>
      </c>
      <c r="D149" s="116">
        <f t="shared" si="2"/>
        <v>2.9521926803531802</v>
      </c>
      <c r="E149" s="116"/>
      <c r="F149" s="115">
        <v>1.2107321133413202</v>
      </c>
      <c r="G149" s="115">
        <v>2.684324869352011</v>
      </c>
      <c r="H149" s="115">
        <v>2.9521926803531802</v>
      </c>
      <c r="I149" s="115">
        <v>2.914200000000001</v>
      </c>
      <c r="J149" s="63"/>
      <c r="K149" s="60"/>
    </row>
    <row r="150" spans="2:11" ht="15" x14ac:dyDescent="0.25">
      <c r="B150" s="117">
        <v>38961</v>
      </c>
      <c r="C150" s="117">
        <v>38991</v>
      </c>
      <c r="D150" s="116">
        <f t="shared" si="2"/>
        <v>2.9507173216923341</v>
      </c>
      <c r="E150" s="116"/>
      <c r="F150" s="115">
        <v>1.2088933865004534</v>
      </c>
      <c r="G150" s="115">
        <v>2.6802482118218314</v>
      </c>
      <c r="H150" s="115">
        <v>2.9507173216923341</v>
      </c>
      <c r="I150" s="115">
        <v>2.9036000000000008</v>
      </c>
      <c r="J150" s="63"/>
      <c r="K150" s="60"/>
    </row>
    <row r="151" spans="2:11" ht="15" x14ac:dyDescent="0.25">
      <c r="B151" s="117">
        <v>38991</v>
      </c>
      <c r="C151" s="117">
        <v>39022</v>
      </c>
      <c r="D151" s="116">
        <f t="shared" si="2"/>
        <v>2.9421849852351523</v>
      </c>
      <c r="E151" s="116"/>
      <c r="F151" s="115">
        <v>1.2066309534627127</v>
      </c>
      <c r="G151" s="115">
        <v>2.6752321515377018</v>
      </c>
      <c r="H151" s="115">
        <v>2.9421849852351523</v>
      </c>
      <c r="I151" s="115">
        <v>2.8927000000000009</v>
      </c>
      <c r="J151" s="63"/>
      <c r="K151" s="60"/>
    </row>
    <row r="152" spans="2:11" ht="15" x14ac:dyDescent="0.25">
      <c r="B152" s="117">
        <v>39022</v>
      </c>
      <c r="C152" s="117">
        <v>39052</v>
      </c>
      <c r="D152" s="116">
        <f t="shared" si="2"/>
        <v>2.931339030821114</v>
      </c>
      <c r="E152" s="116"/>
      <c r="F152" s="115">
        <v>1.2050860331681932</v>
      </c>
      <c r="G152" s="115">
        <v>2.6718068950981908</v>
      </c>
      <c r="H152" s="115">
        <v>2.931339030821114</v>
      </c>
      <c r="I152" s="115">
        <v>2.8825000000000012</v>
      </c>
      <c r="J152" s="63"/>
      <c r="K152" s="60"/>
    </row>
    <row r="153" spans="2:11" ht="15" x14ac:dyDescent="0.25">
      <c r="B153" s="117">
        <v>39052</v>
      </c>
      <c r="C153" s="117">
        <v>39083</v>
      </c>
      <c r="D153" s="116">
        <f t="shared" si="2"/>
        <v>2.9211151278735565</v>
      </c>
      <c r="E153" s="116"/>
      <c r="F153" s="115">
        <v>1.2032546795459231</v>
      </c>
      <c r="G153" s="115">
        <v>2.6677465847961286</v>
      </c>
      <c r="H153" s="115">
        <v>2.9211151278735565</v>
      </c>
      <c r="I153" s="115">
        <v>2.8726000000000012</v>
      </c>
      <c r="J153" s="63"/>
      <c r="K153" s="60"/>
    </row>
    <row r="154" spans="2:11" ht="15" x14ac:dyDescent="0.25">
      <c r="B154" s="117">
        <v>39083</v>
      </c>
      <c r="C154" s="117">
        <v>39114</v>
      </c>
      <c r="D154" s="116">
        <f t="shared" si="2"/>
        <v>2.9060039075542741</v>
      </c>
      <c r="E154" s="116"/>
      <c r="F154" s="115">
        <v>1.2006265081196494</v>
      </c>
      <c r="G154" s="115">
        <v>2.6619196426982628</v>
      </c>
      <c r="H154" s="115">
        <v>2.9060039075542741</v>
      </c>
      <c r="I154" s="115">
        <v>2.8618000000000006</v>
      </c>
      <c r="J154" s="63"/>
      <c r="K154" s="60"/>
    </row>
    <row r="155" spans="2:11" ht="15" x14ac:dyDescent="0.25">
      <c r="B155" s="117">
        <v>39114</v>
      </c>
      <c r="C155" s="117">
        <v>39142</v>
      </c>
      <c r="D155" s="116">
        <f t="shared" si="2"/>
        <v>2.8926974990586047</v>
      </c>
      <c r="E155" s="116"/>
      <c r="F155" s="115">
        <v>1.1997614800925025</v>
      </c>
      <c r="G155" s="115">
        <v>2.6600017814138623</v>
      </c>
      <c r="H155" s="115">
        <v>2.8926974990586047</v>
      </c>
      <c r="I155" s="115">
        <v>2.8531000000000004</v>
      </c>
      <c r="J155" s="63"/>
      <c r="K155" s="60"/>
    </row>
    <row r="156" spans="2:11" ht="15" x14ac:dyDescent="0.25">
      <c r="B156" s="117">
        <v>39142</v>
      </c>
      <c r="C156" s="117">
        <v>39173</v>
      </c>
      <c r="D156" s="116">
        <f t="shared" si="2"/>
        <v>2.8808858670038888</v>
      </c>
      <c r="E156" s="116"/>
      <c r="F156" s="115">
        <v>1.1975149420611959</v>
      </c>
      <c r="G156" s="115">
        <v>2.6550209620889844</v>
      </c>
      <c r="H156" s="115">
        <v>2.8808858670038888</v>
      </c>
      <c r="I156" s="115">
        <v>2.8426000000000005</v>
      </c>
      <c r="J156" s="63"/>
      <c r="K156" s="60"/>
    </row>
    <row r="157" spans="2:11" ht="15" x14ac:dyDescent="0.25">
      <c r="B157" s="117">
        <v>39173</v>
      </c>
      <c r="C157" s="117">
        <v>39203</v>
      </c>
      <c r="D157" s="116">
        <f t="shared" si="2"/>
        <v>2.8745618309757424</v>
      </c>
      <c r="E157" s="116"/>
      <c r="F157" s="115">
        <v>1.1959936381534624</v>
      </c>
      <c r="G157" s="115">
        <v>2.6516480657493458</v>
      </c>
      <c r="H157" s="115">
        <v>2.8745618309757424</v>
      </c>
      <c r="I157" s="115">
        <v>2.8332000000000006</v>
      </c>
      <c r="J157" s="63"/>
      <c r="K157" s="60"/>
    </row>
    <row r="158" spans="2:11" ht="15" x14ac:dyDescent="0.25">
      <c r="B158" s="117">
        <v>39203</v>
      </c>
      <c r="C158" s="117">
        <v>39234</v>
      </c>
      <c r="D158" s="116">
        <f t="shared" si="2"/>
        <v>2.8671073518609043</v>
      </c>
      <c r="E158" s="116"/>
      <c r="F158" s="115">
        <v>1.1939770109819152</v>
      </c>
      <c r="G158" s="115">
        <v>2.6471769838236705</v>
      </c>
      <c r="H158" s="115">
        <v>2.8671073518609043</v>
      </c>
      <c r="I158" s="115">
        <v>2.8229000000000006</v>
      </c>
      <c r="J158" s="63"/>
      <c r="K158" s="60"/>
    </row>
    <row r="159" spans="2:11" ht="15" x14ac:dyDescent="0.25">
      <c r="B159" s="117">
        <v>39234</v>
      </c>
      <c r="C159" s="117">
        <v>39264</v>
      </c>
      <c r="D159" s="116">
        <f t="shared" si="2"/>
        <v>2.8588167831896545</v>
      </c>
      <c r="E159" s="116"/>
      <c r="F159" s="115">
        <v>1.1928390425353377</v>
      </c>
      <c r="G159" s="115">
        <v>2.6446539839230105</v>
      </c>
      <c r="H159" s="115">
        <v>2.8588167831896545</v>
      </c>
      <c r="I159" s="115">
        <v>2.8138000000000005</v>
      </c>
      <c r="J159" s="63"/>
      <c r="K159" s="60"/>
    </row>
    <row r="160" spans="2:11" ht="15" x14ac:dyDescent="0.25">
      <c r="B160" s="117">
        <v>39264</v>
      </c>
      <c r="C160" s="117">
        <v>39295</v>
      </c>
      <c r="D160" s="116">
        <f t="shared" si="2"/>
        <v>2.8519720502690089</v>
      </c>
      <c r="E160" s="116"/>
      <c r="F160" s="115">
        <v>1.1910893323061775</v>
      </c>
      <c r="G160" s="115">
        <v>2.6407746859094043</v>
      </c>
      <c r="H160" s="115">
        <v>2.8519720502690089</v>
      </c>
      <c r="I160" s="115">
        <v>2.8041000000000005</v>
      </c>
      <c r="J160" s="63"/>
      <c r="K160" s="60"/>
    </row>
    <row r="161" spans="2:11" ht="15" x14ac:dyDescent="0.25">
      <c r="B161" s="117">
        <v>39295</v>
      </c>
      <c r="C161" s="117">
        <v>39326</v>
      </c>
      <c r="D161" s="116">
        <f t="shared" si="2"/>
        <v>2.8400438660316758</v>
      </c>
      <c r="E161" s="116"/>
      <c r="F161" s="115">
        <v>1.1893457514345724</v>
      </c>
      <c r="G161" s="115">
        <v>2.636908977348607</v>
      </c>
      <c r="H161" s="115">
        <v>2.8400438660316758</v>
      </c>
      <c r="I161" s="115">
        <v>2.7942000000000009</v>
      </c>
      <c r="J161" s="63"/>
      <c r="K161" s="60"/>
    </row>
    <row r="162" spans="2:11" ht="15" x14ac:dyDescent="0.25">
      <c r="B162" s="117">
        <v>39326</v>
      </c>
      <c r="C162" s="117">
        <v>39356</v>
      </c>
      <c r="D162" s="116">
        <f t="shared" si="2"/>
        <v>2.8318315545235579</v>
      </c>
      <c r="E162" s="116"/>
      <c r="F162" s="115">
        <v>1.188927249042911</v>
      </c>
      <c r="G162" s="115">
        <v>2.6359811119971877</v>
      </c>
      <c r="H162" s="115">
        <v>2.8318315545235579</v>
      </c>
      <c r="I162" s="115">
        <v>2.7862000000000005</v>
      </c>
      <c r="J162" s="63"/>
      <c r="K162" s="60"/>
    </row>
    <row r="163" spans="2:11" ht="15" x14ac:dyDescent="0.25">
      <c r="B163" s="117">
        <v>39356</v>
      </c>
      <c r="C163" s="117">
        <v>39387</v>
      </c>
      <c r="D163" s="116">
        <f t="shared" si="2"/>
        <v>2.8250514310889447</v>
      </c>
      <c r="E163" s="116"/>
      <c r="F163" s="115">
        <v>1.1875710429119031</v>
      </c>
      <c r="G163" s="115">
        <v>2.6329742553975182</v>
      </c>
      <c r="H163" s="115">
        <v>2.8250514310889447</v>
      </c>
      <c r="I163" s="115">
        <v>2.7769000000000004</v>
      </c>
      <c r="J163" s="63"/>
      <c r="K163" s="60"/>
    </row>
    <row r="164" spans="2:11" ht="15" x14ac:dyDescent="0.25">
      <c r="B164" s="117">
        <v>39387</v>
      </c>
      <c r="C164" s="117">
        <v>39417</v>
      </c>
      <c r="D164" s="116">
        <f t="shared" si="2"/>
        <v>2.8185687230259853</v>
      </c>
      <c r="E164" s="116"/>
      <c r="F164" s="115">
        <v>1.1868707891463071</v>
      </c>
      <c r="G164" s="115">
        <v>2.6314217165847338</v>
      </c>
      <c r="H164" s="115">
        <v>2.8185687230259853</v>
      </c>
      <c r="I164" s="115">
        <v>2.7685000000000004</v>
      </c>
      <c r="J164" s="63"/>
      <c r="K164" s="60"/>
    </row>
    <row r="165" spans="2:11" ht="15" x14ac:dyDescent="0.25">
      <c r="B165" s="117">
        <v>39417</v>
      </c>
      <c r="C165" s="117">
        <v>39448</v>
      </c>
      <c r="D165" s="116">
        <f t="shared" si="2"/>
        <v>2.7989758917835013</v>
      </c>
      <c r="E165" s="116"/>
      <c r="F165" s="115">
        <v>1.1861116776725995</v>
      </c>
      <c r="G165" s="115">
        <v>2.6297386838270911</v>
      </c>
      <c r="H165" s="115">
        <v>2.7989758917835013</v>
      </c>
      <c r="I165" s="115">
        <v>2.7601000000000004</v>
      </c>
      <c r="J165" s="63"/>
      <c r="K165" s="60"/>
    </row>
    <row r="166" spans="2:11" ht="15" x14ac:dyDescent="0.25">
      <c r="B166" s="117">
        <v>39448</v>
      </c>
      <c r="C166" s="117">
        <v>39479</v>
      </c>
      <c r="D166" s="116">
        <f t="shared" si="2"/>
        <v>2.7795192569846092</v>
      </c>
      <c r="E166" s="116"/>
      <c r="F166" s="115">
        <v>1.1849149136098536</v>
      </c>
      <c r="G166" s="115">
        <v>2.6270853276461681</v>
      </c>
      <c r="H166" s="115">
        <v>2.7795192569846092</v>
      </c>
      <c r="I166" s="115">
        <v>2.7508000000000008</v>
      </c>
      <c r="J166" s="63"/>
      <c r="K166" s="60"/>
    </row>
    <row r="167" spans="2:11" ht="15" x14ac:dyDescent="0.25">
      <c r="B167" s="117">
        <v>39479</v>
      </c>
      <c r="C167" s="117">
        <v>39508</v>
      </c>
      <c r="D167" s="116">
        <f t="shared" si="2"/>
        <v>2.7618434588479821</v>
      </c>
      <c r="E167" s="116"/>
      <c r="F167" s="115">
        <v>1.1846270492368896</v>
      </c>
      <c r="G167" s="115">
        <v>2.6264471010006263</v>
      </c>
      <c r="H167" s="115">
        <v>2.7618434588479821</v>
      </c>
      <c r="I167" s="115">
        <v>2.7428000000000008</v>
      </c>
      <c r="J167" s="63"/>
      <c r="K167" s="60"/>
    </row>
    <row r="168" spans="2:11" ht="15" x14ac:dyDescent="0.25">
      <c r="B168" s="117">
        <v>39508</v>
      </c>
      <c r="C168" s="117">
        <v>39539</v>
      </c>
      <c r="D168" s="116">
        <f t="shared" si="2"/>
        <v>2.7555057955182902</v>
      </c>
      <c r="E168" s="116"/>
      <c r="F168" s="115">
        <v>1.1841427348583327</v>
      </c>
      <c r="G168" s="115">
        <v>2.6253733233113921</v>
      </c>
      <c r="H168" s="115">
        <v>2.7555057955182902</v>
      </c>
      <c r="I168" s="115">
        <v>2.7344000000000008</v>
      </c>
      <c r="J168" s="63"/>
      <c r="K168" s="60"/>
    </row>
    <row r="169" spans="2:11" ht="15" x14ac:dyDescent="0.25">
      <c r="B169" s="117">
        <v>39539</v>
      </c>
      <c r="C169" s="117">
        <v>39569</v>
      </c>
      <c r="D169" s="116">
        <f t="shared" si="2"/>
        <v>2.7393436678778111</v>
      </c>
      <c r="E169" s="116"/>
      <c r="F169" s="115">
        <v>1.1830129574839376</v>
      </c>
      <c r="G169" s="115">
        <v>2.6228684839092637</v>
      </c>
      <c r="H169" s="115">
        <v>2.7393436678778111</v>
      </c>
      <c r="I169" s="115">
        <v>2.7254000000000005</v>
      </c>
      <c r="J169" s="63"/>
      <c r="K169" s="60"/>
    </row>
    <row r="170" spans="2:11" ht="15" x14ac:dyDescent="0.25">
      <c r="B170" s="117">
        <v>39569</v>
      </c>
      <c r="C170" s="117">
        <v>39600</v>
      </c>
      <c r="D170" s="116">
        <f t="shared" si="2"/>
        <v>2.7240887707615462</v>
      </c>
      <c r="E170" s="116"/>
      <c r="F170" s="115">
        <v>1.1821429003093076</v>
      </c>
      <c r="G170" s="115">
        <v>2.6209394724575295</v>
      </c>
      <c r="H170" s="115">
        <v>2.7240887707615462</v>
      </c>
      <c r="I170" s="115">
        <v>2.7166000000000006</v>
      </c>
      <c r="J170" s="63"/>
      <c r="K170" s="60"/>
    </row>
    <row r="171" spans="2:11" ht="15" x14ac:dyDescent="0.25">
      <c r="B171" s="117">
        <v>39600</v>
      </c>
      <c r="C171" s="117">
        <v>39630</v>
      </c>
      <c r="D171" s="116">
        <f t="shared" si="2"/>
        <v>2.6997906548677371</v>
      </c>
      <c r="E171" s="116"/>
      <c r="F171" s="115">
        <v>1.1807897152955786</v>
      </c>
      <c r="G171" s="115">
        <v>2.6179393140036811</v>
      </c>
      <c r="H171" s="115">
        <v>2.6997906548677371</v>
      </c>
      <c r="I171" s="115">
        <v>2.7070000000000007</v>
      </c>
      <c r="J171" s="63"/>
      <c r="K171" s="60"/>
    </row>
    <row r="172" spans="2:11" ht="15" x14ac:dyDescent="0.25">
      <c r="B172" s="117">
        <v>39630</v>
      </c>
      <c r="C172" s="117">
        <v>39661</v>
      </c>
      <c r="D172" s="116">
        <f t="shared" si="2"/>
        <v>2.6828884575849519</v>
      </c>
      <c r="E172" s="116"/>
      <c r="F172" s="115">
        <v>1.1785340012172507</v>
      </c>
      <c r="G172" s="115">
        <v>2.61293815038385</v>
      </c>
      <c r="H172" s="115">
        <v>2.6828884575849519</v>
      </c>
      <c r="I172" s="115">
        <v>2.6963000000000004</v>
      </c>
      <c r="J172" s="63"/>
      <c r="K172" s="60"/>
    </row>
    <row r="173" spans="2:11" ht="15" x14ac:dyDescent="0.25">
      <c r="B173" s="117">
        <v>39661</v>
      </c>
      <c r="C173" s="117">
        <v>39692</v>
      </c>
      <c r="D173" s="116">
        <f t="shared" si="2"/>
        <v>2.6735310987393639</v>
      </c>
      <c r="E173" s="116"/>
      <c r="F173" s="115">
        <v>1.1766819039005103</v>
      </c>
      <c r="G173" s="115">
        <v>2.6088318490534381</v>
      </c>
      <c r="H173" s="115">
        <v>2.6735310987393639</v>
      </c>
      <c r="I173" s="115">
        <v>2.6861000000000002</v>
      </c>
      <c r="J173" s="63"/>
      <c r="K173" s="60"/>
    </row>
    <row r="174" spans="2:11" ht="15" x14ac:dyDescent="0.25">
      <c r="B174" s="117">
        <v>39692</v>
      </c>
      <c r="C174" s="117">
        <v>39722</v>
      </c>
      <c r="D174" s="116">
        <f t="shared" si="2"/>
        <v>2.6665979440847436</v>
      </c>
      <c r="E174" s="116"/>
      <c r="F174" s="115">
        <v>1.1743683981561424</v>
      </c>
      <c r="G174" s="115">
        <v>2.6037025550200479</v>
      </c>
      <c r="H174" s="115">
        <v>2.6665979440847436</v>
      </c>
      <c r="I174" s="115">
        <v>2.6751000000000005</v>
      </c>
      <c r="J174" s="63"/>
      <c r="K174" s="60"/>
    </row>
    <row r="175" spans="2:11" ht="15" x14ac:dyDescent="0.25">
      <c r="B175" s="117">
        <v>39722</v>
      </c>
      <c r="C175" s="117">
        <v>39753</v>
      </c>
      <c r="D175" s="116">
        <f t="shared" si="2"/>
        <v>2.6586220778511902</v>
      </c>
      <c r="E175" s="116"/>
      <c r="F175" s="115">
        <v>1.1714327875904396</v>
      </c>
      <c r="G175" s="115">
        <v>2.5971939868889016</v>
      </c>
      <c r="H175" s="115">
        <v>2.6586220778511902</v>
      </c>
      <c r="I175" s="115">
        <v>2.6633000000000004</v>
      </c>
      <c r="J175" s="63"/>
      <c r="K175" s="60"/>
    </row>
    <row r="176" spans="2:11" ht="15" x14ac:dyDescent="0.25">
      <c r="B176" s="117">
        <v>39753</v>
      </c>
      <c r="C176" s="117">
        <v>39783</v>
      </c>
      <c r="D176" s="116">
        <f t="shared" si="2"/>
        <v>2.6456583519267496</v>
      </c>
      <c r="E176" s="116"/>
      <c r="F176" s="115">
        <v>1.1695404711081845</v>
      </c>
      <c r="G176" s="115">
        <v>2.5929985152911557</v>
      </c>
      <c r="H176" s="115">
        <v>2.6456583519267496</v>
      </c>
      <c r="I176" s="115">
        <v>2.6531000000000002</v>
      </c>
      <c r="J176" s="63"/>
      <c r="K176" s="60"/>
    </row>
    <row r="177" spans="2:11" ht="15" x14ac:dyDescent="0.25">
      <c r="B177" s="117">
        <v>39783</v>
      </c>
      <c r="C177" s="117">
        <v>39814</v>
      </c>
      <c r="D177" s="116">
        <f t="shared" si="2"/>
        <v>2.6380081283545218</v>
      </c>
      <c r="E177" s="116"/>
      <c r="F177" s="115">
        <v>1.1670325182265153</v>
      </c>
      <c r="G177" s="115">
        <v>2.5874381107910649</v>
      </c>
      <c r="H177" s="115">
        <v>2.6380081283545218</v>
      </c>
      <c r="I177" s="115">
        <v>2.6419000000000006</v>
      </c>
      <c r="J177" s="63"/>
      <c r="K177" s="60"/>
    </row>
    <row r="178" spans="2:11" ht="15" x14ac:dyDescent="0.25">
      <c r="B178" s="117">
        <v>39814</v>
      </c>
      <c r="C178" s="117">
        <v>39845</v>
      </c>
      <c r="D178" s="116">
        <f t="shared" si="2"/>
        <v>2.6274981358112766</v>
      </c>
      <c r="E178" s="116"/>
      <c r="F178" s="115">
        <v>1.1648891222415929</v>
      </c>
      <c r="G178" s="115">
        <v>2.5826859686088297</v>
      </c>
      <c r="H178" s="115">
        <v>2.6274981358112766</v>
      </c>
      <c r="I178" s="115">
        <v>2.6314000000000002</v>
      </c>
      <c r="J178" s="63"/>
      <c r="K178" s="60"/>
    </row>
    <row r="179" spans="2:11" ht="15" x14ac:dyDescent="0.25">
      <c r="B179" s="117">
        <v>39845</v>
      </c>
      <c r="C179" s="117">
        <v>39873</v>
      </c>
      <c r="D179" s="116">
        <f t="shared" si="2"/>
        <v>2.611048530071824</v>
      </c>
      <c r="E179" s="116"/>
      <c r="F179" s="115">
        <v>1.1643639940802619</v>
      </c>
      <c r="G179" s="115">
        <v>2.5815217023210808</v>
      </c>
      <c r="H179" s="115">
        <v>2.611048530071824</v>
      </c>
      <c r="I179" s="115">
        <v>2.6228000000000007</v>
      </c>
      <c r="J179" s="63"/>
      <c r="K179" s="60"/>
    </row>
    <row r="180" spans="2:11" ht="15" x14ac:dyDescent="0.25">
      <c r="B180" s="117">
        <v>39873</v>
      </c>
      <c r="C180" s="117">
        <v>39904</v>
      </c>
      <c r="D180" s="116">
        <f t="shared" si="2"/>
        <v>2.6081795325859791</v>
      </c>
      <c r="E180" s="116"/>
      <c r="F180" s="115">
        <v>1.1626920429225371</v>
      </c>
      <c r="G180" s="115">
        <v>2.5778148046320153</v>
      </c>
      <c r="H180" s="115">
        <v>2.6081795325859791</v>
      </c>
      <c r="I180" s="115">
        <v>2.6131000000000011</v>
      </c>
      <c r="J180" s="63"/>
      <c r="K180" s="60"/>
    </row>
    <row r="181" spans="2:11" ht="15" x14ac:dyDescent="0.25">
      <c r="B181" s="117">
        <v>39904</v>
      </c>
      <c r="C181" s="117">
        <v>39934</v>
      </c>
      <c r="D181" s="116">
        <f t="shared" si="2"/>
        <v>2.5988237670246903</v>
      </c>
      <c r="E181" s="116"/>
      <c r="F181" s="115">
        <v>1.1621644202757342</v>
      </c>
      <c r="G181" s="115">
        <v>2.5766450077984802</v>
      </c>
      <c r="H181" s="115">
        <v>2.5988237670246903</v>
      </c>
      <c r="I181" s="115">
        <v>2.6047000000000011</v>
      </c>
      <c r="J181" s="63"/>
      <c r="K181" s="60"/>
    </row>
    <row r="182" spans="2:11" ht="15" x14ac:dyDescent="0.25">
      <c r="B182" s="117">
        <v>39934</v>
      </c>
      <c r="C182" s="117">
        <v>39965</v>
      </c>
      <c r="D182" s="116">
        <f t="shared" si="2"/>
        <v>2.5835806412413662</v>
      </c>
      <c r="E182" s="116"/>
      <c r="F182" s="115">
        <v>1.1616428426393874</v>
      </c>
      <c r="G182" s="115">
        <v>2.5754886134110544</v>
      </c>
      <c r="H182" s="115">
        <v>2.5835806412413662</v>
      </c>
      <c r="I182" s="115">
        <v>2.5970000000000009</v>
      </c>
      <c r="J182" s="63"/>
      <c r="K182" s="60"/>
    </row>
    <row r="183" spans="2:11" ht="15" x14ac:dyDescent="0.25">
      <c r="B183" s="117">
        <v>39965</v>
      </c>
      <c r="C183" s="117">
        <v>39995</v>
      </c>
      <c r="D183" s="116">
        <f t="shared" si="2"/>
        <v>2.5738002004795439</v>
      </c>
      <c r="E183" s="116"/>
      <c r="F183" s="115">
        <v>1.1608813045036348</v>
      </c>
      <c r="G183" s="115">
        <v>2.5738002004795439</v>
      </c>
      <c r="H183" s="115">
        <v>2.5738002004795439</v>
      </c>
      <c r="I183" s="115">
        <v>2.5894000000000013</v>
      </c>
      <c r="J183" s="63"/>
      <c r="K183" s="60"/>
    </row>
    <row r="184" spans="2:11" ht="15" x14ac:dyDescent="0.25">
      <c r="B184" s="117">
        <v>39995</v>
      </c>
      <c r="C184" s="117">
        <v>40026</v>
      </c>
      <c r="D184" s="116">
        <f t="shared" si="2"/>
        <v>2.5681502698857952</v>
      </c>
      <c r="E184" s="116"/>
      <c r="F184" s="115">
        <v>1.1596624992169606</v>
      </c>
      <c r="G184" s="115">
        <v>2.5681502698857952</v>
      </c>
      <c r="H184" s="115">
        <v>2.5681502698857952</v>
      </c>
      <c r="I184" s="115">
        <v>2.581500000000001</v>
      </c>
      <c r="J184" s="63"/>
      <c r="K184" s="60"/>
    </row>
    <row r="185" spans="2:11" ht="15" x14ac:dyDescent="0.25">
      <c r="B185" s="117">
        <v>40026</v>
      </c>
      <c r="C185" s="117">
        <v>40057</v>
      </c>
      <c r="D185" s="116">
        <f t="shared" si="2"/>
        <v>2.5622570786050036</v>
      </c>
      <c r="E185" s="116"/>
      <c r="F185" s="115">
        <v>1.1594340907010949</v>
      </c>
      <c r="G185" s="115">
        <v>2.5622570786050036</v>
      </c>
      <c r="H185" s="115">
        <v>2.5622570786050036</v>
      </c>
      <c r="I185" s="115">
        <v>2.5746000000000007</v>
      </c>
      <c r="J185" s="63"/>
      <c r="K185" s="60"/>
    </row>
    <row r="186" spans="2:11" ht="15" x14ac:dyDescent="0.25">
      <c r="B186" s="117">
        <v>40057</v>
      </c>
      <c r="C186" s="117">
        <v>40087</v>
      </c>
      <c r="D186" s="116">
        <f t="shared" si="2"/>
        <v>2.557398022362515</v>
      </c>
      <c r="E186" s="116"/>
      <c r="F186" s="115">
        <v>1.1594340907010949</v>
      </c>
      <c r="G186" s="115">
        <v>2.557398022362515</v>
      </c>
      <c r="H186" s="115">
        <v>2.557398022362515</v>
      </c>
      <c r="I186" s="115">
        <v>2.5677000000000008</v>
      </c>
      <c r="J186" s="63"/>
      <c r="K186" s="60"/>
    </row>
    <row r="187" spans="2:11" ht="15" x14ac:dyDescent="0.25">
      <c r="B187" s="117">
        <v>40087</v>
      </c>
      <c r="C187" s="117">
        <v>40118</v>
      </c>
      <c r="D187" s="116">
        <f t="shared" si="2"/>
        <v>2.5528029770039078</v>
      </c>
      <c r="E187" s="116"/>
      <c r="F187" s="115">
        <v>1.1594340907010949</v>
      </c>
      <c r="G187" s="115">
        <v>2.5528029770039078</v>
      </c>
      <c r="H187" s="115">
        <v>2.5528029770039078</v>
      </c>
      <c r="I187" s="115">
        <v>2.5608000000000004</v>
      </c>
      <c r="J187" s="63"/>
      <c r="K187" s="60"/>
    </row>
    <row r="188" spans="2:11" ht="15" x14ac:dyDescent="0.25">
      <c r="B188" s="117">
        <v>40118</v>
      </c>
      <c r="C188" s="117">
        <v>40148</v>
      </c>
      <c r="D188" s="116">
        <f t="shared" si="2"/>
        <v>2.5416198496653801</v>
      </c>
      <c r="E188" s="116"/>
      <c r="F188" s="115">
        <v>1.1594340907010949</v>
      </c>
      <c r="G188" s="115">
        <v>2.5416198496653801</v>
      </c>
      <c r="H188" s="115">
        <v>2.5416198496653801</v>
      </c>
      <c r="I188" s="115">
        <v>2.5542000000000007</v>
      </c>
      <c r="J188" s="63"/>
      <c r="K188" s="60"/>
    </row>
    <row r="189" spans="2:11" ht="15" x14ac:dyDescent="0.25">
      <c r="B189" s="117">
        <v>40148</v>
      </c>
      <c r="C189" s="117">
        <v>40179</v>
      </c>
      <c r="D189" s="116">
        <f t="shared" si="2"/>
        <v>2.5319982562914727</v>
      </c>
      <c r="E189" s="116"/>
      <c r="F189" s="115">
        <v>1.1588164415377582</v>
      </c>
      <c r="G189" s="115">
        <v>2.5319982562914727</v>
      </c>
      <c r="H189" s="115">
        <v>2.5319982562914727</v>
      </c>
      <c r="I189" s="115">
        <v>2.5469000000000008</v>
      </c>
      <c r="J189" s="63"/>
      <c r="K189" s="60"/>
    </row>
    <row r="190" spans="2:11" ht="15" x14ac:dyDescent="0.25">
      <c r="B190" s="117">
        <v>40179</v>
      </c>
      <c r="C190" s="117">
        <v>40210</v>
      </c>
      <c r="D190" s="116">
        <f t="shared" si="2"/>
        <v>2.5188999764141191</v>
      </c>
      <c r="E190" s="116"/>
      <c r="F190" s="115">
        <v>1.1588164415377582</v>
      </c>
      <c r="G190" s="115">
        <v>2.5188999764141191</v>
      </c>
      <c r="H190" s="115">
        <v>2.5188999764141191</v>
      </c>
      <c r="I190" s="115">
        <v>2.5403000000000007</v>
      </c>
      <c r="J190" s="63"/>
      <c r="K190" s="60"/>
    </row>
    <row r="191" spans="2:11" ht="15" x14ac:dyDescent="0.25">
      <c r="B191" s="117">
        <v>40210</v>
      </c>
      <c r="C191" s="117">
        <v>40238</v>
      </c>
      <c r="D191" s="116">
        <f t="shared" si="2"/>
        <v>2.4954428139628679</v>
      </c>
      <c r="E191" s="116"/>
      <c r="F191" s="115">
        <v>1.1588164415377582</v>
      </c>
      <c r="G191" s="115">
        <v>2.4954428139628679</v>
      </c>
      <c r="H191" s="115">
        <v>2.4954428139628679</v>
      </c>
      <c r="I191" s="115">
        <v>2.5344000000000007</v>
      </c>
      <c r="J191" s="63"/>
      <c r="K191" s="60"/>
    </row>
    <row r="192" spans="2:11" ht="15" x14ac:dyDescent="0.25">
      <c r="B192" s="117">
        <v>40238</v>
      </c>
      <c r="C192" s="117">
        <v>40269</v>
      </c>
      <c r="D192" s="116">
        <f t="shared" si="2"/>
        <v>2.4817929527228917</v>
      </c>
      <c r="E192" s="116"/>
      <c r="F192" s="115">
        <v>1.1578993852246613</v>
      </c>
      <c r="G192" s="115">
        <v>2.4817929527228917</v>
      </c>
      <c r="H192" s="115">
        <v>2.4817929527228917</v>
      </c>
      <c r="I192" s="115">
        <v>2.5268000000000006</v>
      </c>
      <c r="J192" s="63"/>
      <c r="K192" s="60"/>
    </row>
    <row r="193" spans="2:11" ht="15" x14ac:dyDescent="0.25">
      <c r="B193" s="117">
        <v>40269</v>
      </c>
      <c r="C193" s="117">
        <v>40299</v>
      </c>
      <c r="D193" s="116">
        <f t="shared" si="2"/>
        <v>2.4699372539041518</v>
      </c>
      <c r="E193" s="116"/>
      <c r="F193" s="115">
        <v>1.1578993852246613</v>
      </c>
      <c r="G193" s="115">
        <v>2.4699372539041518</v>
      </c>
      <c r="H193" s="115">
        <v>2.4699372539041518</v>
      </c>
      <c r="I193" s="115">
        <v>2.5201000000000007</v>
      </c>
      <c r="J193" s="63"/>
      <c r="K193" s="60"/>
    </row>
    <row r="194" spans="2:11" ht="15" x14ac:dyDescent="0.25">
      <c r="B194" s="117">
        <v>40299</v>
      </c>
      <c r="C194" s="117">
        <v>40330</v>
      </c>
      <c r="D194" s="116">
        <f t="shared" si="2"/>
        <v>2.4544740672802861</v>
      </c>
      <c r="E194" s="116"/>
      <c r="F194" s="115">
        <v>1.1573091575543066</v>
      </c>
      <c r="G194" s="115">
        <v>2.4544740672802861</v>
      </c>
      <c r="H194" s="115">
        <v>2.4544740672802861</v>
      </c>
      <c r="I194" s="115">
        <v>2.5126000000000008</v>
      </c>
      <c r="J194" s="63"/>
      <c r="K194" s="60"/>
    </row>
    <row r="195" spans="2:11" ht="15" x14ac:dyDescent="0.25">
      <c r="B195" s="117">
        <v>40330</v>
      </c>
      <c r="C195" s="117">
        <v>40360</v>
      </c>
      <c r="D195" s="116">
        <f t="shared" ref="D195:D258" si="3">VLOOKUP(C195,C:I,IF(índice_cm=1,4,IF(índice_cm=2,5,IF(índice_cm=3,6,7))),0)</f>
        <v>2.4498194104005249</v>
      </c>
      <c r="E195" s="116"/>
      <c r="F195" s="115">
        <v>1.1566279037190144</v>
      </c>
      <c r="G195" s="115">
        <v>2.4498194104005249</v>
      </c>
      <c r="H195" s="115">
        <v>2.4498194104005249</v>
      </c>
      <c r="I195" s="115">
        <v>2.5047000000000006</v>
      </c>
      <c r="J195" s="63"/>
      <c r="K195" s="60"/>
    </row>
    <row r="196" spans="2:11" ht="15" x14ac:dyDescent="0.25">
      <c r="B196" s="117">
        <v>40360</v>
      </c>
      <c r="C196" s="117">
        <v>40391</v>
      </c>
      <c r="D196" s="116">
        <f t="shared" si="3"/>
        <v>2.452026234011135</v>
      </c>
      <c r="E196" s="116"/>
      <c r="F196" s="115">
        <v>1.155298155541983</v>
      </c>
      <c r="G196" s="115">
        <v>2.452026234011135</v>
      </c>
      <c r="H196" s="115">
        <v>2.452026234011135</v>
      </c>
      <c r="I196" s="115">
        <v>2.4961000000000007</v>
      </c>
      <c r="J196" s="63"/>
      <c r="K196" s="60"/>
    </row>
    <row r="197" spans="2:11" ht="15" x14ac:dyDescent="0.25">
      <c r="B197" s="117">
        <v>40391</v>
      </c>
      <c r="C197" s="117">
        <v>40422</v>
      </c>
      <c r="D197" s="116">
        <f t="shared" si="3"/>
        <v>2.4532528604413555</v>
      </c>
      <c r="E197" s="116"/>
      <c r="F197" s="115">
        <v>1.1542489432525653</v>
      </c>
      <c r="G197" s="115">
        <v>2.4532528604413555</v>
      </c>
      <c r="H197" s="115">
        <v>2.4532528604413555</v>
      </c>
      <c r="I197" s="115">
        <v>2.4872000000000005</v>
      </c>
      <c r="J197" s="63"/>
      <c r="K197" s="60"/>
    </row>
    <row r="198" spans="2:11" ht="15" x14ac:dyDescent="0.25">
      <c r="B198" s="117">
        <v>40422</v>
      </c>
      <c r="C198" s="117">
        <v>40452</v>
      </c>
      <c r="D198" s="116">
        <f t="shared" si="3"/>
        <v>2.4456712794749826</v>
      </c>
      <c r="E198" s="116"/>
      <c r="F198" s="115">
        <v>1.1534392289138682</v>
      </c>
      <c r="G198" s="115">
        <v>2.4456712794749826</v>
      </c>
      <c r="H198" s="115">
        <v>2.4456712794749826</v>
      </c>
      <c r="I198" s="115">
        <v>2.4787000000000008</v>
      </c>
      <c r="J198" s="63"/>
      <c r="K198" s="60"/>
    </row>
    <row r="199" spans="2:11" ht="15" x14ac:dyDescent="0.25">
      <c r="B199" s="117">
        <v>40452</v>
      </c>
      <c r="C199" s="117">
        <v>40483</v>
      </c>
      <c r="D199" s="116">
        <f t="shared" si="3"/>
        <v>2.4306015498658144</v>
      </c>
      <c r="E199" s="116"/>
      <c r="F199" s="115">
        <v>1.1528950624443952</v>
      </c>
      <c r="G199" s="115">
        <v>2.4306015498658144</v>
      </c>
      <c r="H199" s="115">
        <v>2.4306015498658144</v>
      </c>
      <c r="I199" s="115">
        <v>2.4706000000000001</v>
      </c>
      <c r="J199" s="63"/>
      <c r="K199" s="60"/>
    </row>
    <row r="200" spans="2:11" ht="15" x14ac:dyDescent="0.25">
      <c r="B200" s="117">
        <v>40483</v>
      </c>
      <c r="C200" s="117">
        <v>40513</v>
      </c>
      <c r="D200" s="116">
        <f t="shared" si="3"/>
        <v>2.4098766110111192</v>
      </c>
      <c r="E200" s="116"/>
      <c r="F200" s="115">
        <v>1.1525078198169363</v>
      </c>
      <c r="G200" s="115">
        <v>2.4098766110111192</v>
      </c>
      <c r="H200" s="115">
        <v>2.4098766110111192</v>
      </c>
      <c r="I200" s="115">
        <v>2.4625000000000004</v>
      </c>
      <c r="J200" s="63"/>
      <c r="K200" s="60"/>
    </row>
    <row r="201" spans="2:11" ht="15" x14ac:dyDescent="0.25">
      <c r="B201" s="117">
        <v>40513</v>
      </c>
      <c r="C201" s="117">
        <v>40544</v>
      </c>
      <c r="D201" s="116">
        <f t="shared" si="3"/>
        <v>2.3933624103795008</v>
      </c>
      <c r="E201" s="116"/>
      <c r="F201" s="115">
        <v>1.1508896689424053</v>
      </c>
      <c r="G201" s="115">
        <v>2.3933624103795008</v>
      </c>
      <c r="H201" s="115">
        <v>2.3933624103795008</v>
      </c>
      <c r="I201" s="115">
        <v>2.4532000000000007</v>
      </c>
      <c r="J201" s="63"/>
      <c r="K201" s="60"/>
    </row>
    <row r="202" spans="2:11" ht="15" x14ac:dyDescent="0.25">
      <c r="B202" s="117">
        <v>40544</v>
      </c>
      <c r="C202" s="117">
        <v>40575</v>
      </c>
      <c r="D202" s="116">
        <f t="shared" si="3"/>
        <v>2.3753100539693337</v>
      </c>
      <c r="E202" s="116"/>
      <c r="F202" s="115">
        <v>1.1500673707723048</v>
      </c>
      <c r="G202" s="115">
        <v>2.3753100539693337</v>
      </c>
      <c r="H202" s="115">
        <v>2.3753100539693337</v>
      </c>
      <c r="I202" s="115">
        <v>2.4446000000000003</v>
      </c>
      <c r="J202" s="63"/>
      <c r="K202" s="60"/>
    </row>
    <row r="203" spans="2:11" ht="15" x14ac:dyDescent="0.25">
      <c r="B203" s="117">
        <v>40575</v>
      </c>
      <c r="C203" s="117">
        <v>40603</v>
      </c>
      <c r="D203" s="116">
        <f t="shared" si="3"/>
        <v>2.352490892313889</v>
      </c>
      <c r="E203" s="116"/>
      <c r="F203" s="115">
        <v>1.149465051085538</v>
      </c>
      <c r="G203" s="115">
        <v>2.352490892313889</v>
      </c>
      <c r="H203" s="115">
        <v>2.352490892313889</v>
      </c>
      <c r="I203" s="115">
        <v>2.4362000000000004</v>
      </c>
      <c r="J203" s="63"/>
      <c r="K203" s="60"/>
    </row>
    <row r="204" spans="2:11" ht="15" x14ac:dyDescent="0.25">
      <c r="B204" s="117">
        <v>40603</v>
      </c>
      <c r="C204" s="117">
        <v>40634</v>
      </c>
      <c r="D204" s="116">
        <f t="shared" si="3"/>
        <v>2.3384601315247404</v>
      </c>
      <c r="E204" s="116"/>
      <c r="F204" s="115">
        <v>1.1480735858994262</v>
      </c>
      <c r="G204" s="115">
        <v>2.3384601315247404</v>
      </c>
      <c r="H204" s="115">
        <v>2.3384601315247404</v>
      </c>
      <c r="I204" s="115">
        <v>2.4270000000000005</v>
      </c>
      <c r="J204" s="63"/>
      <c r="K204" s="60"/>
    </row>
    <row r="205" spans="2:11" ht="15" x14ac:dyDescent="0.25">
      <c r="B205" s="117">
        <v>40634</v>
      </c>
      <c r="C205" s="117">
        <v>40664</v>
      </c>
      <c r="D205" s="116">
        <f t="shared" si="3"/>
        <v>2.3205915763865637</v>
      </c>
      <c r="E205" s="116"/>
      <c r="F205" s="115">
        <v>1.1476501030114157</v>
      </c>
      <c r="G205" s="115">
        <v>2.3205915763865637</v>
      </c>
      <c r="H205" s="115">
        <v>2.3205915763865637</v>
      </c>
      <c r="I205" s="115">
        <v>2.4186000000000005</v>
      </c>
      <c r="J205" s="63"/>
      <c r="K205" s="60"/>
    </row>
    <row r="206" spans="2:11" ht="15" x14ac:dyDescent="0.25">
      <c r="B206" s="117">
        <v>40664</v>
      </c>
      <c r="C206" s="117">
        <v>40695</v>
      </c>
      <c r="D206" s="116">
        <f t="shared" si="3"/>
        <v>2.3044603539091995</v>
      </c>
      <c r="E206" s="116"/>
      <c r="F206" s="115">
        <v>1.1458511167581027</v>
      </c>
      <c r="G206" s="115">
        <v>2.3044603539091995</v>
      </c>
      <c r="H206" s="115">
        <v>2.3044603539091995</v>
      </c>
      <c r="I206" s="115">
        <v>2.4087000000000005</v>
      </c>
      <c r="J206" s="63"/>
      <c r="K206" s="60"/>
    </row>
    <row r="207" spans="2:11" ht="15" x14ac:dyDescent="0.25">
      <c r="B207" s="117">
        <v>40695</v>
      </c>
      <c r="C207" s="117">
        <v>40725</v>
      </c>
      <c r="D207" s="116">
        <f t="shared" si="3"/>
        <v>2.2991722577164517</v>
      </c>
      <c r="E207" s="116"/>
      <c r="F207" s="115">
        <v>1.1445760590283447</v>
      </c>
      <c r="G207" s="115">
        <v>2.2991722577164517</v>
      </c>
      <c r="H207" s="115">
        <v>2.2991722577164517</v>
      </c>
      <c r="I207" s="115">
        <v>2.3991000000000002</v>
      </c>
      <c r="J207" s="63"/>
      <c r="K207" s="60"/>
    </row>
    <row r="208" spans="2:11" ht="15" x14ac:dyDescent="0.25">
      <c r="B208" s="117">
        <v>40725</v>
      </c>
      <c r="C208" s="117">
        <v>40756</v>
      </c>
      <c r="D208" s="116">
        <f t="shared" si="3"/>
        <v>2.2968753823341177</v>
      </c>
      <c r="E208" s="116"/>
      <c r="F208" s="115">
        <v>1.1431711017442996</v>
      </c>
      <c r="G208" s="115">
        <v>2.2968753823341177</v>
      </c>
      <c r="H208" s="115">
        <v>2.2968753823341177</v>
      </c>
      <c r="I208" s="115">
        <v>2.3894000000000002</v>
      </c>
      <c r="J208" s="63"/>
      <c r="K208" s="60"/>
    </row>
    <row r="209" spans="2:11" ht="15" x14ac:dyDescent="0.25">
      <c r="B209" s="117">
        <v>40756</v>
      </c>
      <c r="C209" s="117">
        <v>40787</v>
      </c>
      <c r="D209" s="116">
        <f t="shared" si="3"/>
        <v>2.2906905179356913</v>
      </c>
      <c r="E209" s="116"/>
      <c r="F209" s="115">
        <v>1.1408027951415878</v>
      </c>
      <c r="G209" s="115">
        <v>2.2906905179356913</v>
      </c>
      <c r="H209" s="115">
        <v>2.2906905179356913</v>
      </c>
      <c r="I209" s="115">
        <v>2.3787000000000003</v>
      </c>
      <c r="J209" s="63"/>
      <c r="K209" s="60"/>
    </row>
    <row r="210" spans="2:11" ht="15" x14ac:dyDescent="0.25">
      <c r="B210" s="117">
        <v>40787</v>
      </c>
      <c r="C210" s="117">
        <v>40817</v>
      </c>
      <c r="D210" s="116">
        <f t="shared" si="3"/>
        <v>2.2786138644540843</v>
      </c>
      <c r="E210" s="116"/>
      <c r="F210" s="115">
        <v>1.1396597164459921</v>
      </c>
      <c r="G210" s="115">
        <v>2.2786138644540843</v>
      </c>
      <c r="H210" s="115">
        <v>2.2786138644540843</v>
      </c>
      <c r="I210" s="115">
        <v>2.3693</v>
      </c>
      <c r="J210" s="63"/>
      <c r="K210" s="60"/>
    </row>
    <row r="211" spans="2:11" ht="15" x14ac:dyDescent="0.25">
      <c r="B211" s="117">
        <v>40817</v>
      </c>
      <c r="C211" s="117">
        <v>40848</v>
      </c>
      <c r="D211" s="116">
        <f t="shared" si="3"/>
        <v>2.269083712860072</v>
      </c>
      <c r="E211" s="116"/>
      <c r="F211" s="115">
        <v>1.1389535652355447</v>
      </c>
      <c r="G211" s="115">
        <v>2.269083712860072</v>
      </c>
      <c r="H211" s="115">
        <v>2.269083712860072</v>
      </c>
      <c r="I211" s="115">
        <v>2.3605</v>
      </c>
      <c r="J211" s="63"/>
      <c r="K211" s="60"/>
    </row>
    <row r="212" spans="2:11" ht="15" x14ac:dyDescent="0.25">
      <c r="B212" s="117">
        <v>40848</v>
      </c>
      <c r="C212" s="117">
        <v>40878</v>
      </c>
      <c r="D212" s="116">
        <f t="shared" si="3"/>
        <v>2.2586937217400678</v>
      </c>
      <c r="E212" s="116"/>
      <c r="F212" s="115">
        <v>1.1382194137137014</v>
      </c>
      <c r="G212" s="115">
        <v>2.2586937217400678</v>
      </c>
      <c r="H212" s="115">
        <v>2.2586937217400678</v>
      </c>
      <c r="I212" s="115">
        <v>2.3519000000000001</v>
      </c>
      <c r="J212" s="63"/>
      <c r="K212" s="60"/>
    </row>
    <row r="213" spans="2:11" ht="15" x14ac:dyDescent="0.25">
      <c r="B213" s="117">
        <v>40878</v>
      </c>
      <c r="C213" s="117">
        <v>40909</v>
      </c>
      <c r="D213" s="116">
        <f t="shared" si="3"/>
        <v>2.2461154750796219</v>
      </c>
      <c r="E213" s="116"/>
      <c r="F213" s="115">
        <v>1.1371539005089273</v>
      </c>
      <c r="G213" s="115">
        <v>2.2461154750796219</v>
      </c>
      <c r="H213" s="115">
        <v>2.2461154750796219</v>
      </c>
      <c r="I213" s="115">
        <v>2.3428000000000004</v>
      </c>
      <c r="J213" s="63"/>
      <c r="K213" s="60"/>
    </row>
    <row r="214" spans="2:11" ht="15" x14ac:dyDescent="0.25">
      <c r="B214" s="117">
        <v>40909</v>
      </c>
      <c r="C214" s="117">
        <v>40940</v>
      </c>
      <c r="D214" s="116">
        <f t="shared" si="3"/>
        <v>2.2316100100145277</v>
      </c>
      <c r="E214" s="116"/>
      <c r="F214" s="115">
        <v>1.1361722476869252</v>
      </c>
      <c r="G214" s="115">
        <v>2.2316100100145277</v>
      </c>
      <c r="H214" s="115">
        <v>2.2316100100145277</v>
      </c>
      <c r="I214" s="115">
        <v>2.3338999999999999</v>
      </c>
      <c r="J214" s="63"/>
      <c r="K214" s="60"/>
    </row>
    <row r="215" spans="2:11" ht="15" x14ac:dyDescent="0.25">
      <c r="B215" s="117">
        <v>40940</v>
      </c>
      <c r="C215" s="117">
        <v>40969</v>
      </c>
      <c r="D215" s="116">
        <f t="shared" si="3"/>
        <v>2.2198448324027926</v>
      </c>
      <c r="E215" s="116"/>
      <c r="F215" s="115">
        <v>1.1361722476869252</v>
      </c>
      <c r="G215" s="115">
        <v>2.2198448324027926</v>
      </c>
      <c r="H215" s="115">
        <v>2.2198448324027926</v>
      </c>
      <c r="I215" s="115">
        <v>2.3264</v>
      </c>
      <c r="J215" s="63"/>
      <c r="K215" s="60"/>
    </row>
    <row r="216" spans="2:11" ht="15" x14ac:dyDescent="0.25">
      <c r="B216" s="117">
        <v>40969</v>
      </c>
      <c r="C216" s="117">
        <v>41000</v>
      </c>
      <c r="D216" s="116">
        <f t="shared" si="3"/>
        <v>2.2143090597534094</v>
      </c>
      <c r="E216" s="116"/>
      <c r="F216" s="115">
        <v>1.1349601102891356</v>
      </c>
      <c r="G216" s="115">
        <v>2.2143090597534094</v>
      </c>
      <c r="H216" s="115">
        <v>2.2143090597534094</v>
      </c>
      <c r="I216" s="115">
        <v>2.3182</v>
      </c>
      <c r="J216" s="63"/>
      <c r="K216" s="60"/>
    </row>
    <row r="217" spans="2:11" ht="15" x14ac:dyDescent="0.25">
      <c r="B217" s="117">
        <v>41000</v>
      </c>
      <c r="C217" s="117">
        <v>41030</v>
      </c>
      <c r="D217" s="116">
        <f t="shared" si="3"/>
        <v>2.2048282980717011</v>
      </c>
      <c r="E217" s="116"/>
      <c r="F217" s="115">
        <v>1.1347025328141842</v>
      </c>
      <c r="G217" s="115">
        <v>2.2048282980717011</v>
      </c>
      <c r="H217" s="115">
        <v>2.2048282980717011</v>
      </c>
      <c r="I217" s="115">
        <v>2.3110999999999997</v>
      </c>
      <c r="J217" s="63"/>
      <c r="K217" s="60"/>
    </row>
    <row r="218" spans="2:11" ht="15" x14ac:dyDescent="0.25">
      <c r="B218" s="117">
        <v>41030</v>
      </c>
      <c r="C218" s="117">
        <v>41061</v>
      </c>
      <c r="D218" s="116">
        <f t="shared" si="3"/>
        <v>2.1936407303469316</v>
      </c>
      <c r="E218" s="116"/>
      <c r="F218" s="115">
        <v>1.1341717404396563</v>
      </c>
      <c r="G218" s="115">
        <v>2.1936407303469316</v>
      </c>
      <c r="H218" s="115">
        <v>2.1936407303469316</v>
      </c>
      <c r="I218" s="115">
        <v>2.3037000000000001</v>
      </c>
      <c r="J218" s="63"/>
      <c r="K218" s="60"/>
    </row>
    <row r="219" spans="2:11" ht="15" x14ac:dyDescent="0.25">
      <c r="B219" s="117">
        <v>41061</v>
      </c>
      <c r="C219" s="117">
        <v>41091</v>
      </c>
      <c r="D219" s="116">
        <f t="shared" si="3"/>
        <v>2.1896992716579473</v>
      </c>
      <c r="E219" s="116"/>
      <c r="F219" s="115">
        <v>1.1341717404396563</v>
      </c>
      <c r="G219" s="115">
        <v>2.1896992716579473</v>
      </c>
      <c r="H219" s="115">
        <v>2.1896992716579473</v>
      </c>
      <c r="I219" s="115">
        <v>2.2972999999999999</v>
      </c>
      <c r="J219" s="63"/>
      <c r="K219" s="60"/>
    </row>
    <row r="220" spans="2:11" ht="15" x14ac:dyDescent="0.25">
      <c r="B220" s="117">
        <v>41091</v>
      </c>
      <c r="C220" s="117">
        <v>41122</v>
      </c>
      <c r="D220" s="116">
        <f t="shared" si="3"/>
        <v>2.1824970314541483</v>
      </c>
      <c r="E220" s="116"/>
      <c r="F220" s="115">
        <v>1.1340084432238322</v>
      </c>
      <c r="G220" s="115">
        <v>2.1824970314541483</v>
      </c>
      <c r="H220" s="115">
        <v>2.1824970314541483</v>
      </c>
      <c r="I220" s="115">
        <v>2.2904999999999998</v>
      </c>
      <c r="J220" s="63"/>
      <c r="K220" s="60"/>
    </row>
    <row r="221" spans="2:11" ht="15" x14ac:dyDescent="0.25">
      <c r="B221" s="117">
        <v>41122</v>
      </c>
      <c r="C221" s="117">
        <v>41153</v>
      </c>
      <c r="D221" s="116">
        <f t="shared" si="3"/>
        <v>2.1740183598507303</v>
      </c>
      <c r="E221" s="116"/>
      <c r="F221" s="115">
        <v>1.1338689773396202</v>
      </c>
      <c r="G221" s="115">
        <v>2.1740183598507303</v>
      </c>
      <c r="H221" s="115">
        <v>2.1740183598507303</v>
      </c>
      <c r="I221" s="115">
        <v>2.2835999999999999</v>
      </c>
      <c r="J221" s="63"/>
      <c r="K221" s="60"/>
    </row>
    <row r="222" spans="2:11" ht="15" x14ac:dyDescent="0.25">
      <c r="B222" s="117">
        <v>41153</v>
      </c>
      <c r="C222" s="117">
        <v>41183</v>
      </c>
      <c r="D222" s="116">
        <f t="shared" si="3"/>
        <v>2.163632921825966</v>
      </c>
      <c r="E222" s="116"/>
      <c r="F222" s="115">
        <v>1.1338689773396202</v>
      </c>
      <c r="G222" s="115">
        <v>2.163632921825966</v>
      </c>
      <c r="H222" s="115">
        <v>2.163632921825966</v>
      </c>
      <c r="I222" s="115">
        <v>2.2782</v>
      </c>
      <c r="J222" s="63"/>
      <c r="K222" s="60"/>
    </row>
    <row r="223" spans="2:11" ht="15" x14ac:dyDescent="0.25">
      <c r="B223" s="117">
        <v>41183</v>
      </c>
      <c r="C223" s="117">
        <v>41214</v>
      </c>
      <c r="D223" s="116">
        <f t="shared" si="3"/>
        <v>2.149660130974631</v>
      </c>
      <c r="E223" s="116"/>
      <c r="F223" s="115">
        <v>1.1338689773396202</v>
      </c>
      <c r="G223" s="115">
        <v>2.149660130974631</v>
      </c>
      <c r="H223" s="115">
        <v>2.149660130974631</v>
      </c>
      <c r="I223" s="115">
        <v>2.2721</v>
      </c>
      <c r="J223" s="63"/>
      <c r="K223" s="60"/>
    </row>
    <row r="224" spans="2:11" ht="15" x14ac:dyDescent="0.25">
      <c r="B224" s="117">
        <v>41214</v>
      </c>
      <c r="C224" s="117">
        <v>41244</v>
      </c>
      <c r="D224" s="116">
        <f t="shared" si="3"/>
        <v>2.138114313680755</v>
      </c>
      <c r="E224" s="116"/>
      <c r="F224" s="115">
        <v>1.1338689773396202</v>
      </c>
      <c r="G224" s="115">
        <v>2.138114313680755</v>
      </c>
      <c r="H224" s="115">
        <v>2.138114313680755</v>
      </c>
      <c r="I224" s="115">
        <v>2.2666000000000004</v>
      </c>
      <c r="J224" s="63"/>
      <c r="K224" s="60"/>
    </row>
    <row r="225" spans="2:11" ht="15" x14ac:dyDescent="0.25">
      <c r="B225" s="117">
        <v>41244</v>
      </c>
      <c r="C225" s="117">
        <v>41275</v>
      </c>
      <c r="D225" s="116">
        <f t="shared" si="3"/>
        <v>2.1234624229623154</v>
      </c>
      <c r="E225" s="116"/>
      <c r="F225" s="115">
        <v>1.1338689773396202</v>
      </c>
      <c r="G225" s="115">
        <v>2.1234624229623154</v>
      </c>
      <c r="H225" s="115">
        <v>2.1234624229623154</v>
      </c>
      <c r="I225" s="115">
        <v>2.2610999999999999</v>
      </c>
      <c r="J225" s="63"/>
      <c r="K225" s="60"/>
    </row>
    <row r="226" spans="2:11" ht="15" x14ac:dyDescent="0.25">
      <c r="B226" s="117">
        <v>41275</v>
      </c>
      <c r="C226" s="117">
        <v>41306</v>
      </c>
      <c r="D226" s="116">
        <f t="shared" si="3"/>
        <v>2.1049389601133184</v>
      </c>
      <c r="E226" s="116"/>
      <c r="F226" s="115">
        <v>1.1338689773396202</v>
      </c>
      <c r="G226" s="115">
        <v>2.1049389601133184</v>
      </c>
      <c r="H226" s="115">
        <v>2.1049389601133184</v>
      </c>
      <c r="I226" s="115">
        <v>2.2551000000000005</v>
      </c>
      <c r="J226" s="63"/>
      <c r="K226" s="60"/>
    </row>
    <row r="227" spans="2:11" ht="15" x14ac:dyDescent="0.25">
      <c r="B227" s="117">
        <v>41306</v>
      </c>
      <c r="C227" s="117">
        <v>41334</v>
      </c>
      <c r="D227" s="116">
        <f t="shared" si="3"/>
        <v>2.0907220501721477</v>
      </c>
      <c r="E227" s="116"/>
      <c r="F227" s="115">
        <v>1.1338689773396202</v>
      </c>
      <c r="G227" s="115">
        <v>2.0907220501721477</v>
      </c>
      <c r="H227" s="115">
        <v>2.0907220501721477</v>
      </c>
      <c r="I227" s="115">
        <v>2.2502000000000004</v>
      </c>
      <c r="J227" s="63"/>
      <c r="K227" s="60"/>
    </row>
    <row r="228" spans="2:11" ht="15" x14ac:dyDescent="0.25">
      <c r="B228" s="117">
        <v>41334</v>
      </c>
      <c r="C228" s="117">
        <v>41365</v>
      </c>
      <c r="D228" s="116">
        <f t="shared" si="3"/>
        <v>2.0805274655907531</v>
      </c>
      <c r="E228" s="116"/>
      <c r="F228" s="115">
        <v>1.1338689773396202</v>
      </c>
      <c r="G228" s="115">
        <v>2.0805274655907531</v>
      </c>
      <c r="H228" s="115">
        <v>2.0805274655907531</v>
      </c>
      <c r="I228" s="115">
        <v>2.2446999999999999</v>
      </c>
      <c r="J228" s="63"/>
      <c r="K228" s="60"/>
    </row>
    <row r="229" spans="2:11" ht="15" x14ac:dyDescent="0.25">
      <c r="B229" s="117">
        <v>41365</v>
      </c>
      <c r="C229" s="117">
        <v>41395</v>
      </c>
      <c r="D229" s="116">
        <f t="shared" si="3"/>
        <v>2.0699706154519477</v>
      </c>
      <c r="E229" s="116"/>
      <c r="F229" s="115">
        <v>1.1338689773396202</v>
      </c>
      <c r="G229" s="115">
        <v>2.0699706154519477</v>
      </c>
      <c r="H229" s="115">
        <v>2.0699706154519477</v>
      </c>
      <c r="I229" s="115">
        <v>2.2386000000000004</v>
      </c>
      <c r="J229" s="63"/>
      <c r="K229" s="60"/>
    </row>
    <row r="230" spans="2:11" ht="15" x14ac:dyDescent="0.25">
      <c r="B230" s="117">
        <v>41395</v>
      </c>
      <c r="C230" s="117">
        <v>41426</v>
      </c>
      <c r="D230" s="116">
        <f t="shared" si="3"/>
        <v>2.0604923506390085</v>
      </c>
      <c r="E230" s="116"/>
      <c r="F230" s="115">
        <v>1.1338689773396202</v>
      </c>
      <c r="G230" s="115">
        <v>2.0604923506390085</v>
      </c>
      <c r="H230" s="115">
        <v>2.0604923506390085</v>
      </c>
      <c r="I230" s="115">
        <v>2.2326000000000001</v>
      </c>
      <c r="J230" s="63"/>
      <c r="K230" s="60"/>
    </row>
    <row r="231" spans="2:11" ht="15" x14ac:dyDescent="0.25">
      <c r="B231" s="117">
        <v>41426</v>
      </c>
      <c r="C231" s="117">
        <v>41456</v>
      </c>
      <c r="D231" s="116">
        <f t="shared" si="3"/>
        <v>2.0526921205808013</v>
      </c>
      <c r="E231" s="116"/>
      <c r="F231" s="115">
        <v>1.1338689773396202</v>
      </c>
      <c r="G231" s="115">
        <v>2.0526921205808013</v>
      </c>
      <c r="H231" s="115">
        <v>2.0526921205808013</v>
      </c>
      <c r="I231" s="115">
        <v>2.2265000000000001</v>
      </c>
      <c r="J231" s="63"/>
      <c r="K231" s="60"/>
    </row>
    <row r="232" spans="2:11" ht="15" x14ac:dyDescent="0.25">
      <c r="B232" s="117">
        <v>41456</v>
      </c>
      <c r="C232" s="117">
        <v>41487</v>
      </c>
      <c r="D232" s="116">
        <f t="shared" si="3"/>
        <v>2.051256241211953</v>
      </c>
      <c r="E232" s="116"/>
      <c r="F232" s="115">
        <v>1.1336320482415352</v>
      </c>
      <c r="G232" s="115">
        <v>2.051256241211953</v>
      </c>
      <c r="H232" s="115">
        <v>2.051256241211953</v>
      </c>
      <c r="I232" s="115">
        <v>2.2193000000000005</v>
      </c>
      <c r="J232" s="63"/>
      <c r="K232" s="60"/>
    </row>
    <row r="233" spans="2:11" ht="15" x14ac:dyDescent="0.25">
      <c r="B233" s="117">
        <v>41487</v>
      </c>
      <c r="C233" s="117">
        <v>41518</v>
      </c>
      <c r="D233" s="116">
        <f t="shared" si="3"/>
        <v>2.0479794740534674</v>
      </c>
      <c r="E233" s="116"/>
      <c r="F233" s="115">
        <v>1.1336320482415352</v>
      </c>
      <c r="G233" s="115">
        <v>2.0479794740534674</v>
      </c>
      <c r="H233" s="115">
        <v>2.0479794740534674</v>
      </c>
      <c r="I233" s="115">
        <v>2.2122000000000002</v>
      </c>
      <c r="J233" s="63"/>
      <c r="K233" s="60"/>
    </row>
    <row r="234" spans="2:11" ht="15" x14ac:dyDescent="0.25">
      <c r="B234" s="117">
        <v>41518</v>
      </c>
      <c r="C234" s="117">
        <v>41548</v>
      </c>
      <c r="D234" s="116">
        <f t="shared" si="3"/>
        <v>2.042464819042054</v>
      </c>
      <c r="E234" s="116"/>
      <c r="F234" s="115">
        <v>1.1335424983841604</v>
      </c>
      <c r="G234" s="115">
        <v>2.042464819042054</v>
      </c>
      <c r="H234" s="115">
        <v>2.042464819042054</v>
      </c>
      <c r="I234" s="115">
        <v>2.2050999999999998</v>
      </c>
      <c r="J234" s="63"/>
      <c r="K234" s="60"/>
    </row>
    <row r="235" spans="2:11" ht="15" x14ac:dyDescent="0.25">
      <c r="B235" s="117">
        <v>41548</v>
      </c>
      <c r="C235" s="117">
        <v>41579</v>
      </c>
      <c r="D235" s="116">
        <f t="shared" si="3"/>
        <v>2.0327078214988599</v>
      </c>
      <c r="E235" s="116"/>
      <c r="F235" s="115">
        <v>1.1325005978341534</v>
      </c>
      <c r="G235" s="115">
        <v>2.0327078214988599</v>
      </c>
      <c r="H235" s="115">
        <v>2.0327078214988599</v>
      </c>
      <c r="I235" s="115">
        <v>2.1970000000000001</v>
      </c>
      <c r="J235" s="63"/>
      <c r="K235" s="60"/>
    </row>
    <row r="236" spans="2:11" ht="15" x14ac:dyDescent="0.25">
      <c r="B236" s="117">
        <v>41579</v>
      </c>
      <c r="C236" s="117">
        <v>41609</v>
      </c>
      <c r="D236" s="116">
        <f t="shared" si="3"/>
        <v>2.0211870552837423</v>
      </c>
      <c r="E236" s="116"/>
      <c r="F236" s="115">
        <v>1.1322662187268755</v>
      </c>
      <c r="G236" s="115">
        <v>2.0211870552837423</v>
      </c>
      <c r="H236" s="115">
        <v>2.0211870552837423</v>
      </c>
      <c r="I236" s="115">
        <v>2.1898</v>
      </c>
      <c r="J236" s="63"/>
      <c r="K236" s="60"/>
    </row>
    <row r="237" spans="2:11" ht="15" x14ac:dyDescent="0.25">
      <c r="B237" s="117">
        <v>41609</v>
      </c>
      <c r="C237" s="117">
        <v>41640</v>
      </c>
      <c r="D237" s="116">
        <f t="shared" si="3"/>
        <v>2.0061409978002405</v>
      </c>
      <c r="E237" s="116"/>
      <c r="F237" s="115">
        <v>1.1317071553921125</v>
      </c>
      <c r="G237" s="115">
        <v>2.0061409978002405</v>
      </c>
      <c r="H237" s="115">
        <v>2.0061409978002405</v>
      </c>
      <c r="I237" s="115">
        <v>2.1819000000000002</v>
      </c>
      <c r="J237" s="63"/>
      <c r="K237" s="60"/>
    </row>
    <row r="238" spans="2:11" ht="15" x14ac:dyDescent="0.25">
      <c r="B238" s="117">
        <v>41640</v>
      </c>
      <c r="C238" s="117">
        <v>41671</v>
      </c>
      <c r="D238" s="116">
        <f t="shared" si="3"/>
        <v>1.9927893094270792</v>
      </c>
      <c r="E238" s="116"/>
      <c r="F238" s="115">
        <v>1.1304342863856391</v>
      </c>
      <c r="G238" s="115">
        <v>1.9927893094270792</v>
      </c>
      <c r="H238" s="115">
        <v>1.9927893094270792</v>
      </c>
      <c r="I238" s="115">
        <v>2.1734</v>
      </c>
      <c r="J238" s="63"/>
      <c r="K238" s="60"/>
    </row>
    <row r="239" spans="2:11" ht="15" x14ac:dyDescent="0.25">
      <c r="B239" s="117">
        <v>41671</v>
      </c>
      <c r="C239" s="117">
        <v>41699</v>
      </c>
      <c r="D239" s="116">
        <f t="shared" si="3"/>
        <v>1.9789367521619459</v>
      </c>
      <c r="E239" s="116"/>
      <c r="F239" s="115">
        <v>1.1298275689810962</v>
      </c>
      <c r="G239" s="115">
        <v>1.9789367521619459</v>
      </c>
      <c r="H239" s="115">
        <v>1.9789367521619459</v>
      </c>
      <c r="I239" s="115">
        <v>2.1654999999999998</v>
      </c>
      <c r="J239" s="63"/>
      <c r="K239" s="60"/>
    </row>
    <row r="240" spans="2:11" ht="15" x14ac:dyDescent="0.25">
      <c r="B240" s="117">
        <v>41699</v>
      </c>
      <c r="C240" s="117">
        <v>41730</v>
      </c>
      <c r="D240" s="116">
        <f t="shared" si="3"/>
        <v>1.9645952071497526</v>
      </c>
      <c r="E240" s="116"/>
      <c r="F240" s="115">
        <v>1.1295271147685673</v>
      </c>
      <c r="G240" s="115">
        <v>1.9645952071497526</v>
      </c>
      <c r="H240" s="115">
        <v>1.9645952071497526</v>
      </c>
      <c r="I240" s="115">
        <v>2.1577999999999999</v>
      </c>
      <c r="J240" s="63"/>
      <c r="K240" s="60"/>
    </row>
    <row r="241" spans="2:11" ht="15" x14ac:dyDescent="0.25">
      <c r="B241" s="117">
        <v>41730</v>
      </c>
      <c r="C241" s="117">
        <v>41760</v>
      </c>
      <c r="D241" s="116">
        <f t="shared" si="3"/>
        <v>1.9493899654194806</v>
      </c>
      <c r="E241" s="116"/>
      <c r="F241" s="115">
        <v>1.1290088996836116</v>
      </c>
      <c r="G241" s="115">
        <v>1.9493899654194806</v>
      </c>
      <c r="H241" s="115">
        <v>1.9493899654194806</v>
      </c>
      <c r="I241" s="115">
        <v>2.1496000000000004</v>
      </c>
      <c r="J241" s="63"/>
      <c r="K241" s="60"/>
    </row>
    <row r="242" spans="2:11" ht="15" x14ac:dyDescent="0.25">
      <c r="B242" s="117">
        <v>41760</v>
      </c>
      <c r="C242" s="117">
        <v>41791</v>
      </c>
      <c r="D242" s="116">
        <f t="shared" si="3"/>
        <v>1.9381487029424145</v>
      </c>
      <c r="E242" s="116"/>
      <c r="F242" s="115">
        <v>1.1283273899400874</v>
      </c>
      <c r="G242" s="115">
        <v>1.9381487029424145</v>
      </c>
      <c r="H242" s="115">
        <v>1.9381487029424145</v>
      </c>
      <c r="I242" s="115">
        <v>2.1409000000000002</v>
      </c>
      <c r="J242" s="63"/>
      <c r="K242" s="60"/>
    </row>
    <row r="243" spans="2:11" ht="15" x14ac:dyDescent="0.25">
      <c r="B243" s="117">
        <v>41791</v>
      </c>
      <c r="C243" s="117">
        <v>41821</v>
      </c>
      <c r="D243" s="116">
        <f t="shared" si="3"/>
        <v>1.9290820174603509</v>
      </c>
      <c r="E243" s="116"/>
      <c r="F243" s="115">
        <v>1.1278029615629612</v>
      </c>
      <c r="G243" s="115">
        <v>1.9290820174603509</v>
      </c>
      <c r="H243" s="115">
        <v>1.9290820174603509</v>
      </c>
      <c r="I243" s="115">
        <v>2.1327000000000003</v>
      </c>
      <c r="J243" s="63"/>
      <c r="K243" s="60"/>
    </row>
    <row r="244" spans="2:11" ht="15" x14ac:dyDescent="0.25">
      <c r="B244" s="117">
        <v>41821</v>
      </c>
      <c r="C244" s="117">
        <v>41852</v>
      </c>
      <c r="D244" s="116">
        <f t="shared" si="3"/>
        <v>1.9258081436162033</v>
      </c>
      <c r="E244" s="116"/>
      <c r="F244" s="115">
        <v>1.1266155088166705</v>
      </c>
      <c r="G244" s="115">
        <v>1.9258081436162033</v>
      </c>
      <c r="H244" s="115">
        <v>1.9258081436162033</v>
      </c>
      <c r="I244" s="115">
        <v>2.1232000000000002</v>
      </c>
      <c r="J244" s="63"/>
      <c r="K244" s="60"/>
    </row>
    <row r="245" spans="2:11" ht="15" x14ac:dyDescent="0.25">
      <c r="B245" s="117">
        <v>41852</v>
      </c>
      <c r="C245" s="117">
        <v>41883</v>
      </c>
      <c r="D245" s="116">
        <f t="shared" si="3"/>
        <v>1.9231157815220723</v>
      </c>
      <c r="E245" s="116"/>
      <c r="F245" s="115">
        <v>1.1259376943246877</v>
      </c>
      <c r="G245" s="115">
        <v>1.9231157815220723</v>
      </c>
      <c r="H245" s="115">
        <v>1.9231157815220723</v>
      </c>
      <c r="I245" s="115">
        <v>2.1145000000000005</v>
      </c>
      <c r="J245" s="63"/>
      <c r="K245" s="60"/>
    </row>
    <row r="246" spans="2:11" ht="15" x14ac:dyDescent="0.25">
      <c r="B246" s="117">
        <v>41883</v>
      </c>
      <c r="C246" s="117">
        <v>41913</v>
      </c>
      <c r="D246" s="116">
        <f t="shared" si="3"/>
        <v>1.9156447669310412</v>
      </c>
      <c r="E246" s="116"/>
      <c r="F246" s="115">
        <v>1.1249556080788332</v>
      </c>
      <c r="G246" s="115">
        <v>1.9156447669310412</v>
      </c>
      <c r="H246" s="115">
        <v>1.9156447669310412</v>
      </c>
      <c r="I246" s="115">
        <v>2.1054000000000004</v>
      </c>
      <c r="J246" s="63"/>
      <c r="K246" s="60"/>
    </row>
    <row r="247" spans="2:11" ht="15" x14ac:dyDescent="0.25">
      <c r="B247" s="117">
        <v>41913</v>
      </c>
      <c r="C247" s="117">
        <v>41944</v>
      </c>
      <c r="D247" s="116">
        <f t="shared" si="3"/>
        <v>1.9064935976622626</v>
      </c>
      <c r="E247" s="116"/>
      <c r="F247" s="115">
        <v>1.1237891149774881</v>
      </c>
      <c r="G247" s="115">
        <v>1.9064935976622626</v>
      </c>
      <c r="H247" s="115">
        <v>1.9064935976622626</v>
      </c>
      <c r="I247" s="115">
        <v>2.0959000000000003</v>
      </c>
      <c r="J247" s="63"/>
      <c r="K247" s="60"/>
    </row>
    <row r="248" spans="2:11" ht="15" x14ac:dyDescent="0.25">
      <c r="B248" s="117">
        <v>41944</v>
      </c>
      <c r="C248" s="117">
        <v>41974</v>
      </c>
      <c r="D248" s="116">
        <f t="shared" si="3"/>
        <v>1.8992763475416043</v>
      </c>
      <c r="E248" s="116"/>
      <c r="F248" s="115">
        <v>1.1232465868760275</v>
      </c>
      <c r="G248" s="115">
        <v>1.8992763475416043</v>
      </c>
      <c r="H248" s="115">
        <v>1.8992763475416043</v>
      </c>
      <c r="I248" s="115">
        <v>2.0875000000000004</v>
      </c>
      <c r="J248" s="63"/>
      <c r="K248" s="60"/>
    </row>
    <row r="249" spans="2:11" ht="15" x14ac:dyDescent="0.25">
      <c r="B249" s="117">
        <v>41974</v>
      </c>
      <c r="C249" s="117">
        <v>42005</v>
      </c>
      <c r="D249" s="116">
        <f t="shared" si="3"/>
        <v>1.8843896691552777</v>
      </c>
      <c r="E249" s="116"/>
      <c r="F249" s="115">
        <v>1.1220650523758764</v>
      </c>
      <c r="G249" s="115">
        <v>1.8843896691552777</v>
      </c>
      <c r="H249" s="115">
        <v>1.8843896691552777</v>
      </c>
      <c r="I249" s="115">
        <v>2.0779000000000005</v>
      </c>
      <c r="J249" s="63"/>
      <c r="K249" s="60"/>
    </row>
    <row r="250" spans="2:11" ht="15" x14ac:dyDescent="0.25">
      <c r="B250" s="117">
        <v>42005</v>
      </c>
      <c r="C250" s="117">
        <v>42036</v>
      </c>
      <c r="D250" s="116">
        <f t="shared" si="3"/>
        <v>1.8677665468879749</v>
      </c>
      <c r="E250" s="116"/>
      <c r="F250" s="115">
        <v>1.1210807434831009</v>
      </c>
      <c r="G250" s="115">
        <v>1.8677665468879749</v>
      </c>
      <c r="H250" s="115">
        <v>1.8677665468879749</v>
      </c>
      <c r="I250" s="115">
        <v>2.0685000000000002</v>
      </c>
      <c r="J250" s="63"/>
      <c r="K250" s="60"/>
    </row>
    <row r="251" spans="2:11" ht="15" x14ac:dyDescent="0.25">
      <c r="B251" s="117">
        <v>42036</v>
      </c>
      <c r="C251" s="117">
        <v>42064</v>
      </c>
      <c r="D251" s="116">
        <f t="shared" si="3"/>
        <v>1.8432513045376244</v>
      </c>
      <c r="E251" s="116"/>
      <c r="F251" s="115">
        <v>1.1208924335542629</v>
      </c>
      <c r="G251" s="115">
        <v>1.8432513045376244</v>
      </c>
      <c r="H251" s="115">
        <v>1.8432513045376244</v>
      </c>
      <c r="I251" s="115">
        <v>2.0603000000000002</v>
      </c>
      <c r="J251" s="63"/>
      <c r="K251" s="60"/>
    </row>
    <row r="252" spans="2:11" ht="15" x14ac:dyDescent="0.25">
      <c r="B252" s="117">
        <v>42064</v>
      </c>
      <c r="C252" s="117">
        <v>42095</v>
      </c>
      <c r="D252" s="116">
        <f t="shared" si="3"/>
        <v>1.8206749353394158</v>
      </c>
      <c r="E252" s="116"/>
      <c r="F252" s="115">
        <v>1.1194416371924627</v>
      </c>
      <c r="G252" s="115">
        <v>1.8206749353394158</v>
      </c>
      <c r="H252" s="115">
        <v>1.8206749353394158</v>
      </c>
      <c r="I252" s="115">
        <v>2.0499000000000001</v>
      </c>
      <c r="J252" s="63"/>
      <c r="K252" s="60"/>
    </row>
    <row r="253" spans="2:11" ht="15" x14ac:dyDescent="0.25">
      <c r="B253" s="117">
        <v>42095</v>
      </c>
      <c r="C253" s="117">
        <v>42125</v>
      </c>
      <c r="D253" s="116">
        <f t="shared" si="3"/>
        <v>1.8013999558122251</v>
      </c>
      <c r="E253" s="116"/>
      <c r="F253" s="115">
        <v>1.1182406467378674</v>
      </c>
      <c r="G253" s="115">
        <v>1.8013999558122251</v>
      </c>
      <c r="H253" s="115">
        <v>1.8013999558122251</v>
      </c>
      <c r="I253" s="115">
        <v>2.0404</v>
      </c>
      <c r="J253" s="63"/>
      <c r="K253" s="60"/>
    </row>
    <row r="254" spans="2:11" ht="15" x14ac:dyDescent="0.25">
      <c r="B254" s="117">
        <v>42125</v>
      </c>
      <c r="C254" s="117">
        <v>42156</v>
      </c>
      <c r="D254" s="116">
        <f t="shared" si="3"/>
        <v>1.7906560196940609</v>
      </c>
      <c r="E254" s="116"/>
      <c r="F254" s="115">
        <v>1.116952800159285</v>
      </c>
      <c r="G254" s="115">
        <v>1.7906560196940609</v>
      </c>
      <c r="H254" s="115">
        <v>1.7906560196940609</v>
      </c>
      <c r="I254" s="115">
        <v>2.0305</v>
      </c>
      <c r="J254" s="63"/>
      <c r="K254" s="60"/>
    </row>
    <row r="255" spans="2:11" ht="15" x14ac:dyDescent="0.25">
      <c r="B255" s="117">
        <v>42156</v>
      </c>
      <c r="C255" s="117">
        <v>42186</v>
      </c>
      <c r="D255" s="116">
        <f t="shared" si="3"/>
        <v>1.7731023068561846</v>
      </c>
      <c r="E255" s="116"/>
      <c r="F255" s="115">
        <v>1.1149314294776433</v>
      </c>
      <c r="G255" s="115">
        <v>1.7731023068561846</v>
      </c>
      <c r="H255" s="115">
        <v>1.7731023068561846</v>
      </c>
      <c r="I255" s="115">
        <v>2.0198</v>
      </c>
      <c r="J255" s="63"/>
      <c r="K255" s="60"/>
    </row>
    <row r="256" spans="2:11" ht="15" x14ac:dyDescent="0.25">
      <c r="B256" s="117">
        <v>42186</v>
      </c>
      <c r="C256" s="117">
        <v>42217</v>
      </c>
      <c r="D256" s="116">
        <f t="shared" si="3"/>
        <v>1.7627023629149863</v>
      </c>
      <c r="E256" s="116"/>
      <c r="F256" s="115">
        <v>1.1123674225686251</v>
      </c>
      <c r="G256" s="115">
        <v>1.7627023629149863</v>
      </c>
      <c r="H256" s="115">
        <v>1.7627023629149863</v>
      </c>
      <c r="I256" s="115">
        <v>2.008</v>
      </c>
      <c r="J256" s="63"/>
      <c r="K256" s="60"/>
    </row>
    <row r="257" spans="2:11" ht="15" x14ac:dyDescent="0.25">
      <c r="B257" s="117">
        <v>42217</v>
      </c>
      <c r="C257" s="117">
        <v>42248</v>
      </c>
      <c r="D257" s="116">
        <f t="shared" si="3"/>
        <v>1.7551551955740181</v>
      </c>
      <c r="E257" s="116"/>
      <c r="F257" s="115">
        <v>1.1102945027320259</v>
      </c>
      <c r="G257" s="115">
        <v>1.7551551955740181</v>
      </c>
      <c r="H257" s="115">
        <v>1.7551551955740181</v>
      </c>
      <c r="I257" s="115">
        <v>1.9969000000000003</v>
      </c>
      <c r="J257" s="63"/>
      <c r="K257" s="60"/>
    </row>
    <row r="258" spans="2:11" ht="15" x14ac:dyDescent="0.25">
      <c r="B258" s="117">
        <v>42248</v>
      </c>
      <c r="C258" s="117">
        <v>42278</v>
      </c>
      <c r="D258" s="116">
        <f t="shared" si="3"/>
        <v>1.7483366825122204</v>
      </c>
      <c r="E258" s="116"/>
      <c r="F258" s="115">
        <v>1.1081668224329557</v>
      </c>
      <c r="G258" s="115">
        <v>1.7483366825122204</v>
      </c>
      <c r="H258" s="115">
        <v>1.7483366825122204</v>
      </c>
      <c r="I258" s="115">
        <v>1.9858000000000002</v>
      </c>
      <c r="J258" s="63"/>
      <c r="K258" s="60"/>
    </row>
    <row r="259" spans="2:11" ht="15" x14ac:dyDescent="0.25">
      <c r="B259" s="117">
        <v>42278</v>
      </c>
      <c r="C259" s="117">
        <v>42309</v>
      </c>
      <c r="D259" s="116">
        <f t="shared" ref="D259:D322" si="4">VLOOKUP(C259,C:I,IF(índice_cm=1,4,IF(índice_cm=2,5,IF(índice_cm=3,6,7))),0)</f>
        <v>1.7368733186093985</v>
      </c>
      <c r="E259" s="116"/>
      <c r="F259" s="115">
        <v>1.1061867481537588</v>
      </c>
      <c r="G259" s="115">
        <v>1.7368733186093985</v>
      </c>
      <c r="H259" s="115">
        <v>1.7368733186093985</v>
      </c>
      <c r="I259" s="115">
        <v>1.9747000000000001</v>
      </c>
      <c r="J259" s="63"/>
      <c r="K259" s="60"/>
    </row>
    <row r="260" spans="2:11" ht="15" x14ac:dyDescent="0.25">
      <c r="B260" s="117">
        <v>42309</v>
      </c>
      <c r="C260" s="117">
        <v>42339</v>
      </c>
      <c r="D260" s="116">
        <f t="shared" si="4"/>
        <v>1.7222343268313323</v>
      </c>
      <c r="E260" s="116"/>
      <c r="F260" s="115">
        <v>1.1047538823683272</v>
      </c>
      <c r="G260" s="115">
        <v>1.7222343268313323</v>
      </c>
      <c r="H260" s="115">
        <v>1.7222343268313323</v>
      </c>
      <c r="I260" s="115">
        <v>1.9641000000000002</v>
      </c>
      <c r="J260" s="63"/>
      <c r="K260" s="60"/>
    </row>
    <row r="261" spans="2:11" ht="15" x14ac:dyDescent="0.25">
      <c r="B261" s="117">
        <v>42339</v>
      </c>
      <c r="C261" s="117">
        <v>42370</v>
      </c>
      <c r="D261" s="116">
        <f t="shared" si="4"/>
        <v>1.7021489689971656</v>
      </c>
      <c r="E261" s="116"/>
      <c r="F261" s="115">
        <v>1.1022737663939413</v>
      </c>
      <c r="G261" s="115">
        <v>1.7021489689971656</v>
      </c>
      <c r="H261" s="115">
        <v>1.7021489689971656</v>
      </c>
      <c r="I261" s="115">
        <v>1.9525000000000001</v>
      </c>
      <c r="J261" s="63"/>
      <c r="K261" s="60"/>
    </row>
    <row r="262" spans="2:11" ht="15" x14ac:dyDescent="0.25">
      <c r="B262" s="117">
        <v>42370</v>
      </c>
      <c r="C262" s="117">
        <v>42401</v>
      </c>
      <c r="D262" s="116">
        <f t="shared" si="4"/>
        <v>1.6866319550110636</v>
      </c>
      <c r="E262" s="116"/>
      <c r="F262" s="115">
        <v>1.1008206830922591</v>
      </c>
      <c r="G262" s="115">
        <v>1.6866319550110636</v>
      </c>
      <c r="H262" s="115">
        <v>1.6866319550110636</v>
      </c>
      <c r="I262" s="115">
        <v>1.9419000000000002</v>
      </c>
      <c r="J262" s="63"/>
      <c r="K262" s="60"/>
    </row>
    <row r="263" spans="2:11" ht="15" x14ac:dyDescent="0.25">
      <c r="B263" s="117">
        <v>42401</v>
      </c>
      <c r="C263" s="117">
        <v>42430</v>
      </c>
      <c r="D263" s="116">
        <f t="shared" si="4"/>
        <v>1.6630171120203743</v>
      </c>
      <c r="E263" s="116"/>
      <c r="F263" s="115">
        <v>1.0997682049201494</v>
      </c>
      <c r="G263" s="115">
        <v>1.6630171120203743</v>
      </c>
      <c r="H263" s="115">
        <v>1.6630171120203743</v>
      </c>
      <c r="I263" s="115">
        <v>1.9319000000000002</v>
      </c>
      <c r="J263" s="63"/>
      <c r="K263" s="60"/>
    </row>
    <row r="264" spans="2:11" ht="15" x14ac:dyDescent="0.25">
      <c r="B264" s="117">
        <v>42430</v>
      </c>
      <c r="C264" s="117">
        <v>42461</v>
      </c>
      <c r="D264" s="116">
        <f t="shared" si="4"/>
        <v>1.6558967559697046</v>
      </c>
      <c r="E264" s="116"/>
      <c r="F264" s="115">
        <v>1.0973890654263028</v>
      </c>
      <c r="G264" s="115">
        <v>1.6558967559697046</v>
      </c>
      <c r="H264" s="115">
        <v>1.6558967559697046</v>
      </c>
      <c r="I264" s="115">
        <v>1.9203000000000001</v>
      </c>
      <c r="J264" s="63"/>
      <c r="K264" s="60"/>
    </row>
    <row r="265" spans="2:11" ht="15" x14ac:dyDescent="0.25">
      <c r="B265" s="117">
        <v>42461</v>
      </c>
      <c r="C265" s="117">
        <v>42491</v>
      </c>
      <c r="D265" s="116">
        <f t="shared" si="4"/>
        <v>1.6474945338470843</v>
      </c>
      <c r="E265" s="116"/>
      <c r="F265" s="115">
        <v>1.0959599336727943</v>
      </c>
      <c r="G265" s="115">
        <v>1.6474945338470843</v>
      </c>
      <c r="H265" s="115">
        <v>1.6474945338470843</v>
      </c>
      <c r="I265" s="115">
        <v>1.9097000000000002</v>
      </c>
      <c r="J265" s="63"/>
      <c r="K265" s="60"/>
    </row>
    <row r="266" spans="2:11" ht="15" x14ac:dyDescent="0.25">
      <c r="B266" s="117">
        <v>42491</v>
      </c>
      <c r="C266" s="117">
        <v>42522</v>
      </c>
      <c r="D266" s="116">
        <f t="shared" si="4"/>
        <v>1.6334468905880275</v>
      </c>
      <c r="E266" s="116"/>
      <c r="F266" s="115">
        <v>1.0942823987555026</v>
      </c>
      <c r="G266" s="115">
        <v>1.6334468905880275</v>
      </c>
      <c r="H266" s="115">
        <v>1.6334468905880275</v>
      </c>
      <c r="I266" s="115">
        <v>1.8986000000000001</v>
      </c>
      <c r="J266" s="63"/>
      <c r="K266" s="60"/>
    </row>
    <row r="267" spans="2:11" ht="15" x14ac:dyDescent="0.25">
      <c r="B267" s="117">
        <v>42522</v>
      </c>
      <c r="C267" s="117">
        <v>42552</v>
      </c>
      <c r="D267" s="116">
        <f t="shared" si="4"/>
        <v>1.6269391340518202</v>
      </c>
      <c r="E267" s="116"/>
      <c r="F267" s="115">
        <v>1.0920513378722314</v>
      </c>
      <c r="G267" s="115">
        <v>1.6269391340518202</v>
      </c>
      <c r="H267" s="115">
        <v>1.6269391340518202</v>
      </c>
      <c r="I267" s="115">
        <v>1.887</v>
      </c>
      <c r="J267" s="63"/>
      <c r="K267" s="60"/>
    </row>
    <row r="268" spans="2:11" ht="15" x14ac:dyDescent="0.25">
      <c r="B268" s="117">
        <v>42552</v>
      </c>
      <c r="C268" s="117">
        <v>42583</v>
      </c>
      <c r="D268" s="116">
        <f t="shared" si="4"/>
        <v>1.6182008494647107</v>
      </c>
      <c r="E268" s="116"/>
      <c r="F268" s="115">
        <v>1.0902839875284467</v>
      </c>
      <c r="G268" s="115">
        <v>1.6182008494647107</v>
      </c>
      <c r="H268" s="115">
        <v>1.6182008494647107</v>
      </c>
      <c r="I268" s="115">
        <v>1.8759000000000001</v>
      </c>
      <c r="J268" s="63"/>
      <c r="K268" s="60"/>
    </row>
    <row r="269" spans="2:11" ht="15" x14ac:dyDescent="0.25">
      <c r="B269" s="117">
        <v>42583</v>
      </c>
      <c r="C269" s="117">
        <v>42614</v>
      </c>
      <c r="D269" s="116">
        <f t="shared" si="4"/>
        <v>1.6109515674113597</v>
      </c>
      <c r="E269" s="116"/>
      <c r="F269" s="115">
        <v>1.0875162586501816</v>
      </c>
      <c r="G269" s="115">
        <v>1.6109515674113597</v>
      </c>
      <c r="H269" s="115">
        <v>1.6109515674113597</v>
      </c>
      <c r="I269" s="115">
        <v>1.8637000000000001</v>
      </c>
      <c r="J269" s="63"/>
      <c r="K269" s="60"/>
    </row>
    <row r="270" spans="2:11" ht="15" x14ac:dyDescent="0.25">
      <c r="B270" s="117">
        <v>42614</v>
      </c>
      <c r="C270" s="117">
        <v>42644</v>
      </c>
      <c r="D270" s="116">
        <f t="shared" si="4"/>
        <v>1.607254881184635</v>
      </c>
      <c r="E270" s="116"/>
      <c r="F270" s="115">
        <v>1.0858061140205986</v>
      </c>
      <c r="G270" s="115">
        <v>1.607254881184635</v>
      </c>
      <c r="H270" s="115">
        <v>1.607254881184635</v>
      </c>
      <c r="I270" s="115">
        <v>1.8526</v>
      </c>
      <c r="J270" s="63"/>
      <c r="K270" s="60"/>
    </row>
    <row r="271" spans="2:11" ht="15" x14ac:dyDescent="0.25">
      <c r="B271" s="117">
        <v>42644</v>
      </c>
      <c r="C271" s="117">
        <v>42675</v>
      </c>
      <c r="D271" s="116">
        <f t="shared" si="4"/>
        <v>1.6042068880972502</v>
      </c>
      <c r="E271" s="116"/>
      <c r="F271" s="115">
        <v>1.0840705171226832</v>
      </c>
      <c r="G271" s="115">
        <v>1.6042068880972502</v>
      </c>
      <c r="H271" s="115">
        <v>1.6042068880972502</v>
      </c>
      <c r="I271" s="115">
        <v>1.8420999999999998</v>
      </c>
      <c r="J271" s="63"/>
      <c r="K271" s="60"/>
    </row>
    <row r="272" spans="2:11" ht="15" x14ac:dyDescent="0.25">
      <c r="B272" s="117">
        <v>42675</v>
      </c>
      <c r="C272" s="117">
        <v>42705</v>
      </c>
      <c r="D272" s="116">
        <f t="shared" si="4"/>
        <v>1.600046766504339</v>
      </c>
      <c r="E272" s="116"/>
      <c r="F272" s="115">
        <v>1.0825246718912216</v>
      </c>
      <c r="G272" s="115">
        <v>1.600046766504339</v>
      </c>
      <c r="H272" s="115">
        <v>1.600046766504339</v>
      </c>
      <c r="I272" s="115">
        <v>1.8316999999999999</v>
      </c>
      <c r="J272" s="63"/>
      <c r="K272" s="60"/>
    </row>
    <row r="273" spans="2:11" ht="15" x14ac:dyDescent="0.25">
      <c r="B273" s="117">
        <v>42705</v>
      </c>
      <c r="C273" s="117">
        <v>42736</v>
      </c>
      <c r="D273" s="116">
        <f t="shared" si="4"/>
        <v>1.5970124428628993</v>
      </c>
      <c r="E273" s="116"/>
      <c r="F273" s="115">
        <v>1.080526777878924</v>
      </c>
      <c r="G273" s="115">
        <v>1.5970124428628993</v>
      </c>
      <c r="H273" s="115">
        <v>1.5970124428628993</v>
      </c>
      <c r="I273" s="115">
        <v>1.8204999999999998</v>
      </c>
      <c r="J273" s="63"/>
      <c r="K273" s="60"/>
    </row>
    <row r="274" spans="2:11" ht="15" x14ac:dyDescent="0.25">
      <c r="B274" s="117">
        <v>42736</v>
      </c>
      <c r="C274" s="117">
        <v>42767</v>
      </c>
      <c r="D274" s="116">
        <f t="shared" si="4"/>
        <v>1.5920770041500341</v>
      </c>
      <c r="E274" s="116"/>
      <c r="F274" s="115">
        <v>1.0786929997793018</v>
      </c>
      <c r="G274" s="115">
        <v>1.5920770041500341</v>
      </c>
      <c r="H274" s="115">
        <v>1.5920770041500341</v>
      </c>
      <c r="I274" s="115">
        <v>1.8095999999999999</v>
      </c>
      <c r="J274" s="63"/>
      <c r="K274" s="60"/>
    </row>
    <row r="275" spans="2:11" ht="15" x14ac:dyDescent="0.25">
      <c r="B275" s="117">
        <v>42767</v>
      </c>
      <c r="C275" s="117">
        <v>42795</v>
      </c>
      <c r="D275" s="116">
        <f t="shared" si="4"/>
        <v>1.5835259639447323</v>
      </c>
      <c r="E275" s="116"/>
      <c r="F275" s="115">
        <v>1.0783673328447834</v>
      </c>
      <c r="G275" s="115">
        <v>1.5835259639447323</v>
      </c>
      <c r="H275" s="115">
        <v>1.5835259639447323</v>
      </c>
      <c r="I275" s="115">
        <v>1.8008999999999997</v>
      </c>
      <c r="J275" s="63"/>
      <c r="K275" s="60"/>
    </row>
    <row r="276" spans="2:11" ht="15" x14ac:dyDescent="0.25">
      <c r="B276" s="117">
        <v>42795</v>
      </c>
      <c r="C276" s="117">
        <v>42826</v>
      </c>
      <c r="D276" s="116">
        <f t="shared" si="4"/>
        <v>1.5811542325958385</v>
      </c>
      <c r="E276" s="116"/>
      <c r="F276" s="115">
        <v>1.0767317772751044</v>
      </c>
      <c r="G276" s="115">
        <v>1.5811542325958385</v>
      </c>
      <c r="H276" s="115">
        <v>1.5811542325958385</v>
      </c>
      <c r="I276" s="115">
        <v>1.7903999999999998</v>
      </c>
      <c r="J276" s="63"/>
      <c r="K276" s="60"/>
    </row>
    <row r="277" spans="2:11" ht="15" x14ac:dyDescent="0.25">
      <c r="B277" s="117">
        <v>42826</v>
      </c>
      <c r="C277" s="117">
        <v>42856</v>
      </c>
      <c r="D277" s="116">
        <f t="shared" si="4"/>
        <v>1.5778407669851697</v>
      </c>
      <c r="E277" s="116"/>
      <c r="F277" s="115">
        <v>1.0767317772751044</v>
      </c>
      <c r="G277" s="115">
        <v>1.5778407669851697</v>
      </c>
      <c r="H277" s="115">
        <v>1.5778407669851697</v>
      </c>
      <c r="I277" s="115">
        <v>1.7824999999999998</v>
      </c>
      <c r="J277" s="63"/>
      <c r="K277" s="60"/>
    </row>
    <row r="278" spans="2:11" ht="15" x14ac:dyDescent="0.25">
      <c r="B278" s="117">
        <v>42856</v>
      </c>
      <c r="C278" s="117">
        <v>42887</v>
      </c>
      <c r="D278" s="116">
        <f t="shared" si="4"/>
        <v>1.5740630157473761</v>
      </c>
      <c r="E278" s="116"/>
      <c r="F278" s="115">
        <v>1.075909782201502</v>
      </c>
      <c r="G278" s="115">
        <v>1.5740630157473761</v>
      </c>
      <c r="H278" s="115">
        <v>1.5740630157473761</v>
      </c>
      <c r="I278" s="115">
        <v>1.7731999999999999</v>
      </c>
      <c r="J278" s="63"/>
      <c r="K278" s="60"/>
    </row>
    <row r="279" spans="2:11" ht="15" x14ac:dyDescent="0.25">
      <c r="B279" s="117">
        <v>42887</v>
      </c>
      <c r="C279" s="117">
        <v>42917</v>
      </c>
      <c r="D279" s="116">
        <f t="shared" si="4"/>
        <v>1.5715485380864378</v>
      </c>
      <c r="E279" s="116"/>
      <c r="F279" s="115">
        <v>1.0753334034972282</v>
      </c>
      <c r="G279" s="115">
        <v>1.5715485380864378</v>
      </c>
      <c r="H279" s="115">
        <v>1.5715485380864378</v>
      </c>
      <c r="I279" s="115">
        <v>1.7650999999999997</v>
      </c>
      <c r="J279" s="63"/>
      <c r="K279" s="60"/>
    </row>
    <row r="280" spans="2:11" ht="15" x14ac:dyDescent="0.25">
      <c r="B280" s="117">
        <v>42917</v>
      </c>
      <c r="C280" s="117">
        <v>42948</v>
      </c>
      <c r="D280" s="116">
        <f t="shared" si="4"/>
        <v>1.5743824264540551</v>
      </c>
      <c r="E280" s="116"/>
      <c r="F280" s="115">
        <v>1.0746638878950678</v>
      </c>
      <c r="G280" s="115">
        <v>1.5743824264540551</v>
      </c>
      <c r="H280" s="115">
        <v>1.5743824264540551</v>
      </c>
      <c r="I280" s="115">
        <v>1.7570999999999999</v>
      </c>
      <c r="J280" s="63"/>
      <c r="K280" s="60"/>
    </row>
    <row r="281" spans="2:11" ht="15" x14ac:dyDescent="0.25">
      <c r="B281" s="117">
        <v>42948</v>
      </c>
      <c r="C281" s="117">
        <v>42979</v>
      </c>
      <c r="D281" s="116">
        <f t="shared" si="4"/>
        <v>1.568891306879975</v>
      </c>
      <c r="E281" s="116"/>
      <c r="F281" s="115">
        <v>1.0741171622594781</v>
      </c>
      <c r="G281" s="115">
        <v>1.568891306879975</v>
      </c>
      <c r="H281" s="115">
        <v>1.568891306879975</v>
      </c>
      <c r="I281" s="115">
        <v>1.7490999999999999</v>
      </c>
      <c r="J281" s="63"/>
      <c r="K281" s="60"/>
    </row>
    <row r="282" spans="2:11" ht="15" x14ac:dyDescent="0.25">
      <c r="B282" s="117">
        <v>42979</v>
      </c>
      <c r="C282" s="117">
        <v>43009</v>
      </c>
      <c r="D282" s="116">
        <f t="shared" si="4"/>
        <v>1.5671674227149883</v>
      </c>
      <c r="E282" s="116"/>
      <c r="F282" s="115">
        <v>1.0741171622594781</v>
      </c>
      <c r="G282" s="115">
        <v>1.5671674227149883</v>
      </c>
      <c r="H282" s="115">
        <v>1.5671674227149883</v>
      </c>
      <c r="I282" s="115">
        <v>1.7426999999999999</v>
      </c>
      <c r="J282" s="63"/>
      <c r="K282" s="60"/>
    </row>
    <row r="283" spans="2:11" ht="15" x14ac:dyDescent="0.25">
      <c r="B283" s="117">
        <v>43009</v>
      </c>
      <c r="C283" s="117">
        <v>43040</v>
      </c>
      <c r="D283" s="116">
        <f t="shared" si="4"/>
        <v>1.5618571085459321</v>
      </c>
      <c r="E283" s="116"/>
      <c r="F283" s="115">
        <v>1.0741171622594781</v>
      </c>
      <c r="G283" s="115">
        <v>1.5618571085459321</v>
      </c>
      <c r="H283" s="115">
        <v>1.5618571085459321</v>
      </c>
      <c r="I283" s="115">
        <v>1.7363</v>
      </c>
      <c r="J283" s="63"/>
      <c r="K283" s="60"/>
    </row>
    <row r="284" spans="2:11" ht="15" x14ac:dyDescent="0.25">
      <c r="B284" s="117">
        <v>43040</v>
      </c>
      <c r="C284" s="117">
        <v>43070</v>
      </c>
      <c r="D284" s="116">
        <f t="shared" si="4"/>
        <v>1.556875108199693</v>
      </c>
      <c r="E284" s="116"/>
      <c r="F284" s="115">
        <v>1.0741171622594781</v>
      </c>
      <c r="G284" s="115">
        <v>1.556875108199693</v>
      </c>
      <c r="H284" s="115">
        <v>1.556875108199693</v>
      </c>
      <c r="I284" s="115">
        <v>1.7305999999999999</v>
      </c>
      <c r="J284" s="63"/>
      <c r="K284" s="60"/>
    </row>
    <row r="285" spans="2:11" ht="15" x14ac:dyDescent="0.25">
      <c r="B285" s="117">
        <v>43070</v>
      </c>
      <c r="C285" s="117">
        <v>43101</v>
      </c>
      <c r="D285" s="116">
        <f t="shared" si="4"/>
        <v>1.551445050522863</v>
      </c>
      <c r="E285" s="116"/>
      <c r="F285" s="115">
        <v>1.0741171622594781</v>
      </c>
      <c r="G285" s="115">
        <v>1.551445050522863</v>
      </c>
      <c r="H285" s="115">
        <v>1.551445050522863</v>
      </c>
      <c r="I285" s="115">
        <v>1.7251999999999998</v>
      </c>
      <c r="J285" s="63"/>
      <c r="K285" s="60"/>
    </row>
    <row r="286" spans="2:11" ht="15" x14ac:dyDescent="0.25">
      <c r="B286" s="117">
        <v>43101</v>
      </c>
      <c r="C286" s="117">
        <v>43132</v>
      </c>
      <c r="D286" s="116">
        <f t="shared" si="4"/>
        <v>1.5454179206323966</v>
      </c>
      <c r="E286" s="116"/>
      <c r="F286" s="115">
        <v>1.0741171622594781</v>
      </c>
      <c r="G286" s="115">
        <v>1.5454179206323966</v>
      </c>
      <c r="H286" s="115">
        <v>1.5454179206323966</v>
      </c>
      <c r="I286" s="115">
        <v>1.7193999999999998</v>
      </c>
      <c r="J286" s="63"/>
      <c r="K286" s="60"/>
    </row>
    <row r="287" spans="2:11" ht="15" x14ac:dyDescent="0.25">
      <c r="B287" s="117">
        <v>43132</v>
      </c>
      <c r="C287" s="117">
        <v>43160</v>
      </c>
      <c r="D287" s="116">
        <f t="shared" si="4"/>
        <v>1.539567563889616</v>
      </c>
      <c r="E287" s="116"/>
      <c r="F287" s="115">
        <v>1.0741171622594781</v>
      </c>
      <c r="G287" s="115">
        <v>1.539567563889616</v>
      </c>
      <c r="H287" s="115">
        <v>1.539567563889616</v>
      </c>
      <c r="I287" s="115">
        <v>1.7146999999999999</v>
      </c>
      <c r="J287" s="63"/>
      <c r="K287" s="60"/>
    </row>
    <row r="288" spans="2:11" ht="15" x14ac:dyDescent="0.25">
      <c r="B288" s="117">
        <v>43160</v>
      </c>
      <c r="C288" s="117">
        <v>43191</v>
      </c>
      <c r="D288" s="116">
        <f t="shared" si="4"/>
        <v>1.538029534355261</v>
      </c>
      <c r="E288" s="116"/>
      <c r="F288" s="115">
        <v>1.0741171622594781</v>
      </c>
      <c r="G288" s="115">
        <v>1.538029534355261</v>
      </c>
      <c r="H288" s="115">
        <v>1.538029534355261</v>
      </c>
      <c r="I288" s="115">
        <v>1.7093999999999998</v>
      </c>
      <c r="J288" s="63"/>
      <c r="K288" s="60"/>
    </row>
    <row r="289" spans="2:11" ht="15" x14ac:dyDescent="0.25">
      <c r="B289" s="117">
        <v>43191</v>
      </c>
      <c r="C289" s="117">
        <v>43221</v>
      </c>
      <c r="D289" s="116">
        <f t="shared" si="4"/>
        <v>1.534806440829519</v>
      </c>
      <c r="E289" s="116"/>
      <c r="F289" s="115">
        <v>1.0741171622594781</v>
      </c>
      <c r="G289" s="115">
        <v>1.534806440829519</v>
      </c>
      <c r="H289" s="115">
        <v>1.534806440829519</v>
      </c>
      <c r="I289" s="115">
        <v>1.7041999999999999</v>
      </c>
      <c r="J289" s="63"/>
      <c r="K289" s="60"/>
    </row>
    <row r="290" spans="2:11" ht="15" x14ac:dyDescent="0.25">
      <c r="B290" s="117">
        <v>43221</v>
      </c>
      <c r="C290" s="117">
        <v>43252</v>
      </c>
      <c r="D290" s="116">
        <f t="shared" si="4"/>
        <v>1.5326607158273606</v>
      </c>
      <c r="E290" s="116"/>
      <c r="F290" s="115">
        <v>1.0741171622594781</v>
      </c>
      <c r="G290" s="115">
        <v>1.5326607158273606</v>
      </c>
      <c r="H290" s="115">
        <v>1.5326607158273606</v>
      </c>
      <c r="I290" s="115">
        <v>1.6990000000000001</v>
      </c>
      <c r="J290" s="63"/>
      <c r="K290" s="60"/>
    </row>
    <row r="291" spans="2:11" ht="15" x14ac:dyDescent="0.25">
      <c r="B291" s="117">
        <v>43252</v>
      </c>
      <c r="C291" s="117">
        <v>43282</v>
      </c>
      <c r="D291" s="116">
        <f t="shared" si="4"/>
        <v>1.5158349479056081</v>
      </c>
      <c r="E291" s="116"/>
      <c r="F291" s="115">
        <v>1.0741171622594781</v>
      </c>
      <c r="G291" s="115">
        <v>1.5158349479056081</v>
      </c>
      <c r="H291" s="115">
        <v>1.5158349479056081</v>
      </c>
      <c r="I291" s="115">
        <v>1.6938</v>
      </c>
      <c r="J291" s="63"/>
      <c r="K291" s="60"/>
    </row>
    <row r="292" spans="2:11" ht="15" x14ac:dyDescent="0.25">
      <c r="B292" s="117">
        <v>43282</v>
      </c>
      <c r="C292" s="117">
        <v>43313</v>
      </c>
      <c r="D292" s="116">
        <f t="shared" si="4"/>
        <v>1.5061952979984183</v>
      </c>
      <c r="E292" s="116"/>
      <c r="F292" s="115">
        <v>1.0741171622594781</v>
      </c>
      <c r="G292" s="115">
        <v>1.5061952979984183</v>
      </c>
      <c r="H292" s="115">
        <v>1.5061952979984183</v>
      </c>
      <c r="I292" s="115">
        <v>1.6883999999999999</v>
      </c>
      <c r="J292" s="63"/>
      <c r="K292" s="60"/>
    </row>
    <row r="293" spans="2:11" ht="15" x14ac:dyDescent="0.25">
      <c r="B293" s="117">
        <v>43313</v>
      </c>
      <c r="C293" s="117">
        <v>43344</v>
      </c>
      <c r="D293" s="116">
        <f t="shared" si="4"/>
        <v>1.5042397862762591</v>
      </c>
      <c r="E293" s="116"/>
      <c r="F293" s="115">
        <v>1.0741171622594781</v>
      </c>
      <c r="G293" s="115">
        <v>1.5042397862762591</v>
      </c>
      <c r="H293" s="115">
        <v>1.5042397862762591</v>
      </c>
      <c r="I293" s="115">
        <v>1.6827000000000001</v>
      </c>
      <c r="J293" s="63"/>
      <c r="K293" s="60"/>
    </row>
    <row r="294" spans="2:11" ht="15" x14ac:dyDescent="0.25">
      <c r="B294" s="117">
        <v>43344</v>
      </c>
      <c r="C294" s="117">
        <v>43374</v>
      </c>
      <c r="D294" s="116">
        <f t="shared" si="4"/>
        <v>1.5028871878072327</v>
      </c>
      <c r="E294" s="116"/>
      <c r="F294" s="115">
        <v>1.0741171622594781</v>
      </c>
      <c r="G294" s="115">
        <v>1.5028871878072327</v>
      </c>
      <c r="H294" s="115">
        <v>1.5028871878072327</v>
      </c>
      <c r="I294" s="115">
        <v>1.6779999999999999</v>
      </c>
      <c r="J294" s="63"/>
      <c r="K294" s="60"/>
    </row>
    <row r="295" spans="2:11" ht="15" x14ac:dyDescent="0.25">
      <c r="B295" s="117">
        <v>43374</v>
      </c>
      <c r="C295" s="117">
        <v>43405</v>
      </c>
      <c r="D295" s="116">
        <f t="shared" si="4"/>
        <v>1.4942207077025578</v>
      </c>
      <c r="E295" s="116"/>
      <c r="F295" s="115">
        <v>1.0741171622594781</v>
      </c>
      <c r="G295" s="115">
        <v>1.4942207077025578</v>
      </c>
      <c r="H295" s="115">
        <v>1.4942207077025578</v>
      </c>
      <c r="I295" s="115">
        <v>1.6725999999999999</v>
      </c>
      <c r="J295" s="63"/>
      <c r="K295" s="60"/>
    </row>
    <row r="296" spans="2:11" ht="15" x14ac:dyDescent="0.25">
      <c r="B296" s="117">
        <v>43405</v>
      </c>
      <c r="C296" s="117">
        <v>43435</v>
      </c>
      <c r="D296" s="116">
        <f t="shared" si="4"/>
        <v>1.4913870722652538</v>
      </c>
      <c r="E296" s="116"/>
      <c r="F296" s="115">
        <v>1.0741171622594781</v>
      </c>
      <c r="G296" s="115">
        <v>1.4913870722652538</v>
      </c>
      <c r="H296" s="115">
        <v>1.4913870722652538</v>
      </c>
      <c r="I296" s="115">
        <v>1.6677</v>
      </c>
      <c r="J296" s="63"/>
      <c r="K296" s="60"/>
    </row>
    <row r="297" spans="2:11" ht="15" x14ac:dyDescent="0.25">
      <c r="B297" s="117">
        <v>43435</v>
      </c>
      <c r="C297" s="117">
        <v>43466</v>
      </c>
      <c r="D297" s="116">
        <f t="shared" si="4"/>
        <v>1.4937771156502944</v>
      </c>
      <c r="E297" s="116"/>
      <c r="F297" s="115">
        <v>1.0741171622594781</v>
      </c>
      <c r="G297" s="115">
        <v>1.4937771156502944</v>
      </c>
      <c r="H297" s="115">
        <v>1.4937771156502944</v>
      </c>
      <c r="I297" s="115">
        <v>1.6628000000000001</v>
      </c>
      <c r="J297" s="63"/>
      <c r="K297" s="60"/>
    </row>
    <row r="298" spans="2:11" ht="15" x14ac:dyDescent="0.25">
      <c r="B298" s="117">
        <v>43466</v>
      </c>
      <c r="C298" s="117">
        <v>43497</v>
      </c>
      <c r="D298" s="116">
        <f t="shared" si="4"/>
        <v>1.4893091880860365</v>
      </c>
      <c r="E298" s="116"/>
      <c r="F298" s="115">
        <v>1.0741171622594781</v>
      </c>
      <c r="G298" s="115">
        <v>1.4893091880860365</v>
      </c>
      <c r="H298" s="115">
        <v>1.4893091880860365</v>
      </c>
      <c r="I298" s="115">
        <v>1.6574</v>
      </c>
      <c r="J298" s="63"/>
      <c r="K298" s="60"/>
    </row>
    <row r="299" spans="2:11" ht="15" x14ac:dyDescent="0.25">
      <c r="B299" s="117">
        <v>43497</v>
      </c>
      <c r="C299" s="117">
        <v>43525</v>
      </c>
      <c r="D299" s="116">
        <f t="shared" si="4"/>
        <v>1.4842626949232971</v>
      </c>
      <c r="E299" s="116"/>
      <c r="F299" s="115">
        <v>1.0741171622594781</v>
      </c>
      <c r="G299" s="115">
        <v>1.4842626949232971</v>
      </c>
      <c r="H299" s="115">
        <v>1.4842626949232971</v>
      </c>
      <c r="I299" s="115">
        <v>1.6524999999999999</v>
      </c>
      <c r="J299" s="63"/>
      <c r="K299" s="60"/>
    </row>
    <row r="300" spans="2:11" ht="15" x14ac:dyDescent="0.25">
      <c r="B300" s="117">
        <v>43525</v>
      </c>
      <c r="C300" s="117">
        <v>43556</v>
      </c>
      <c r="D300" s="116">
        <f t="shared" si="4"/>
        <v>1.4762907250082524</v>
      </c>
      <c r="E300" s="116"/>
      <c r="F300" s="115">
        <v>1.0741171622594781</v>
      </c>
      <c r="G300" s="115">
        <v>1.4762907250082524</v>
      </c>
      <c r="H300" s="115">
        <v>1.4762907250082524</v>
      </c>
      <c r="I300" s="115">
        <v>1.6477999999999999</v>
      </c>
      <c r="J300" s="63"/>
      <c r="K300" s="60"/>
    </row>
    <row r="301" spans="2:11" ht="15" x14ac:dyDescent="0.25">
      <c r="B301" s="117">
        <v>43556</v>
      </c>
      <c r="C301" s="117">
        <v>43586</v>
      </c>
      <c r="D301" s="116">
        <f t="shared" si="4"/>
        <v>1.4657374156158185</v>
      </c>
      <c r="E301" s="116"/>
      <c r="F301" s="115">
        <v>1.0741171622594781</v>
      </c>
      <c r="G301" s="115">
        <v>1.4657374156158185</v>
      </c>
      <c r="H301" s="115">
        <v>1.4657374156158185</v>
      </c>
      <c r="I301" s="115">
        <v>1.6425999999999998</v>
      </c>
      <c r="J301" s="63"/>
      <c r="K301" s="60"/>
    </row>
    <row r="302" spans="2:11" ht="15" x14ac:dyDescent="0.25">
      <c r="B302" s="117">
        <v>43586</v>
      </c>
      <c r="C302" s="117">
        <v>43617</v>
      </c>
      <c r="D302" s="116">
        <f t="shared" si="4"/>
        <v>1.4606252273201976</v>
      </c>
      <c r="E302" s="116"/>
      <c r="F302" s="115">
        <v>1.0741171622594781</v>
      </c>
      <c r="G302" s="115">
        <v>1.4606252273201976</v>
      </c>
      <c r="H302" s="115">
        <v>1.4606252273201976</v>
      </c>
      <c r="I302" s="115">
        <v>1.6372</v>
      </c>
      <c r="J302" s="63"/>
      <c r="K302" s="60"/>
    </row>
    <row r="303" spans="2:11" ht="15" x14ac:dyDescent="0.25">
      <c r="B303" s="117">
        <v>43617</v>
      </c>
      <c r="C303" s="117">
        <v>43647</v>
      </c>
      <c r="D303" s="116">
        <f t="shared" si="4"/>
        <v>1.4597493776935815</v>
      </c>
      <c r="E303" s="116"/>
      <c r="F303" s="115">
        <v>1.0741171622594781</v>
      </c>
      <c r="G303" s="115">
        <v>1.4597493776935815</v>
      </c>
      <c r="H303" s="115">
        <v>1.4597493776935815</v>
      </c>
      <c r="I303" s="115">
        <v>1.6324999999999998</v>
      </c>
      <c r="J303" s="63"/>
      <c r="K303" s="60"/>
    </row>
    <row r="304" spans="2:11" ht="15" x14ac:dyDescent="0.25">
      <c r="B304" s="117">
        <v>43647</v>
      </c>
      <c r="C304" s="117">
        <v>43678</v>
      </c>
      <c r="D304" s="116">
        <f t="shared" si="4"/>
        <v>1.4584367845874529</v>
      </c>
      <c r="E304" s="116"/>
      <c r="F304" s="115">
        <v>1.0741171622594781</v>
      </c>
      <c r="G304" s="115">
        <v>1.4584367845874529</v>
      </c>
      <c r="H304" s="115">
        <v>1.4584367845874529</v>
      </c>
      <c r="I304" s="115">
        <v>1.6267999999999998</v>
      </c>
      <c r="J304" s="63"/>
      <c r="K304" s="60"/>
    </row>
    <row r="305" spans="2:11" ht="15" x14ac:dyDescent="0.25">
      <c r="B305" s="117">
        <v>43678</v>
      </c>
      <c r="C305" s="117">
        <v>43709</v>
      </c>
      <c r="D305" s="116">
        <f t="shared" si="4"/>
        <v>1.4572709678132023</v>
      </c>
      <c r="E305" s="116"/>
      <c r="F305" s="115">
        <v>1.0741171622594781</v>
      </c>
      <c r="G305" s="115">
        <v>1.4572709678132023</v>
      </c>
      <c r="H305" s="115">
        <v>1.4572709678132023</v>
      </c>
      <c r="I305" s="115">
        <v>1.6217999999999999</v>
      </c>
      <c r="J305" s="63"/>
      <c r="K305" s="60"/>
    </row>
    <row r="306" spans="2:11" ht="15" x14ac:dyDescent="0.25">
      <c r="B306" s="117">
        <v>43709</v>
      </c>
      <c r="C306" s="117">
        <v>43739</v>
      </c>
      <c r="D306" s="116">
        <f t="shared" si="4"/>
        <v>1.4559606032702592</v>
      </c>
      <c r="E306" s="116"/>
      <c r="F306" s="115">
        <v>1.0741171622594781</v>
      </c>
      <c r="G306" s="115">
        <v>1.4559606032702592</v>
      </c>
      <c r="H306" s="115">
        <v>1.4559606032702592</v>
      </c>
      <c r="I306" s="115">
        <v>1.6172</v>
      </c>
      <c r="J306" s="63"/>
      <c r="K306" s="60"/>
    </row>
    <row r="307" spans="2:11" ht="15" x14ac:dyDescent="0.25">
      <c r="B307" s="117">
        <v>43739</v>
      </c>
      <c r="C307" s="117">
        <v>43770</v>
      </c>
      <c r="D307" s="116">
        <f t="shared" si="4"/>
        <v>1.4546514169949638</v>
      </c>
      <c r="E307" s="116"/>
      <c r="F307" s="115">
        <v>1.0741171622594781</v>
      </c>
      <c r="G307" s="115">
        <v>1.4546514169949638</v>
      </c>
      <c r="H307" s="115">
        <v>1.4546514169949638</v>
      </c>
      <c r="I307" s="115">
        <v>1.6123999999999998</v>
      </c>
      <c r="J307" s="63"/>
      <c r="K307" s="60"/>
    </row>
    <row r="308" spans="2:11" ht="15" x14ac:dyDescent="0.25">
      <c r="B308" s="117">
        <v>43770</v>
      </c>
      <c r="C308" s="117">
        <v>43800</v>
      </c>
      <c r="D308" s="116">
        <f t="shared" si="4"/>
        <v>1.452617752141965</v>
      </c>
      <c r="E308" s="116"/>
      <c r="F308" s="115">
        <v>1.0741171622594781</v>
      </c>
      <c r="G308" s="115">
        <v>1.452617752141965</v>
      </c>
      <c r="H308" s="115">
        <v>1.452617752141965</v>
      </c>
      <c r="I308" s="115">
        <v>1.6085999999999998</v>
      </c>
      <c r="J308" s="63"/>
      <c r="K308" s="60"/>
    </row>
    <row r="309" spans="2:11" ht="15" x14ac:dyDescent="0.25">
      <c r="B309" s="117">
        <v>43800</v>
      </c>
      <c r="C309" s="117">
        <v>43831</v>
      </c>
      <c r="D309" s="116">
        <f t="shared" si="4"/>
        <v>1.4375237527382139</v>
      </c>
      <c r="E309" s="116"/>
      <c r="F309" s="115">
        <v>1.0741171622594781</v>
      </c>
      <c r="G309" s="115">
        <v>1.4375237527382139</v>
      </c>
      <c r="H309" s="115">
        <v>1.4375237527382139</v>
      </c>
      <c r="I309" s="115">
        <v>1.6048999999999998</v>
      </c>
      <c r="J309" s="63"/>
      <c r="K309" s="60"/>
    </row>
    <row r="310" spans="2:11" ht="15" x14ac:dyDescent="0.25">
      <c r="B310" s="117">
        <v>43831</v>
      </c>
      <c r="C310" s="117">
        <v>43862</v>
      </c>
      <c r="D310" s="116">
        <f t="shared" si="4"/>
        <v>1.4273892887878201</v>
      </c>
      <c r="E310" s="116"/>
      <c r="F310" s="115">
        <v>1.0741171622594781</v>
      </c>
      <c r="G310" s="115">
        <v>1.4273892887878201</v>
      </c>
      <c r="H310" s="115">
        <v>1.4273892887878201</v>
      </c>
      <c r="I310" s="115">
        <v>1.6011</v>
      </c>
      <c r="J310" s="63"/>
      <c r="K310" s="60"/>
    </row>
    <row r="311" spans="2:11" ht="15" x14ac:dyDescent="0.25">
      <c r="B311" s="117">
        <v>43862</v>
      </c>
      <c r="C311" s="117">
        <v>43891</v>
      </c>
      <c r="D311" s="116">
        <f t="shared" si="4"/>
        <v>1.4242559257511676</v>
      </c>
      <c r="E311" s="116"/>
      <c r="F311" s="115">
        <v>1.0741171622594781</v>
      </c>
      <c r="G311" s="115">
        <v>1.4242559257511676</v>
      </c>
      <c r="H311" s="115">
        <v>1.4242559257511676</v>
      </c>
      <c r="I311" s="115">
        <v>1.5981999999999998</v>
      </c>
      <c r="J311" s="63"/>
      <c r="K311" s="60"/>
    </row>
    <row r="312" spans="2:11" ht="15" x14ac:dyDescent="0.25">
      <c r="B312" s="117">
        <v>43891</v>
      </c>
      <c r="C312" s="117">
        <v>43922</v>
      </c>
      <c r="D312" s="116">
        <f t="shared" si="4"/>
        <v>1.4239711315248627</v>
      </c>
      <c r="E312" s="116"/>
      <c r="F312" s="115">
        <v>1.0741171622594781</v>
      </c>
      <c r="G312" s="115">
        <v>1.4239711315248627</v>
      </c>
      <c r="H312" s="115">
        <v>1.4239711315248627</v>
      </c>
      <c r="I312" s="115">
        <v>1.5948</v>
      </c>
      <c r="J312" s="63"/>
      <c r="K312" s="60"/>
    </row>
    <row r="313" spans="2:11" ht="15" x14ac:dyDescent="0.25">
      <c r="B313" s="117">
        <v>43922</v>
      </c>
      <c r="C313" s="117">
        <v>43952</v>
      </c>
      <c r="D313" s="116">
        <f t="shared" si="4"/>
        <v>1.4241135428791505</v>
      </c>
      <c r="E313" s="116"/>
      <c r="F313" s="115">
        <v>1.0741171622594781</v>
      </c>
      <c r="G313" s="115">
        <v>1.4241135428791505</v>
      </c>
      <c r="H313" s="115">
        <v>1.4241135428791505</v>
      </c>
      <c r="I313" s="115">
        <v>1.5919999999999999</v>
      </c>
      <c r="J313" s="63"/>
      <c r="K313" s="60"/>
    </row>
    <row r="314" spans="2:11" ht="15" x14ac:dyDescent="0.25">
      <c r="B314" s="117">
        <v>43952</v>
      </c>
      <c r="C314" s="117">
        <v>43983</v>
      </c>
      <c r="D314" s="116">
        <f t="shared" si="4"/>
        <v>1.4325656803934721</v>
      </c>
      <c r="E314" s="116"/>
      <c r="F314" s="115">
        <v>1.0741171622594781</v>
      </c>
      <c r="G314" s="115">
        <v>1.4325656803934721</v>
      </c>
      <c r="H314" s="115">
        <v>1.4325656803934721</v>
      </c>
      <c r="I314" s="115">
        <v>1.5895999999999999</v>
      </c>
      <c r="J314" s="63"/>
      <c r="K314" s="60"/>
    </row>
    <row r="315" spans="2:11" ht="15" x14ac:dyDescent="0.25">
      <c r="B315" s="117">
        <v>43983</v>
      </c>
      <c r="C315" s="117">
        <v>44013</v>
      </c>
      <c r="D315" s="116">
        <f t="shared" si="4"/>
        <v>1.4322792245485625</v>
      </c>
      <c r="E315" s="116"/>
      <c r="F315" s="115">
        <v>1.0741171622594781</v>
      </c>
      <c r="G315" s="115">
        <v>1.4322792245485625</v>
      </c>
      <c r="H315" s="115">
        <v>1.4322792245485625</v>
      </c>
      <c r="I315" s="115">
        <v>1.5874999999999999</v>
      </c>
      <c r="J315" s="63"/>
      <c r="K315" s="60"/>
    </row>
    <row r="316" spans="2:11" ht="15" x14ac:dyDescent="0.25">
      <c r="B316" s="117">
        <v>44013</v>
      </c>
      <c r="C316" s="117">
        <v>44044</v>
      </c>
      <c r="D316" s="116">
        <f t="shared" si="4"/>
        <v>1.4279952388320665</v>
      </c>
      <c r="E316" s="116"/>
      <c r="F316" s="115">
        <v>1.0741171622594781</v>
      </c>
      <c r="G316" s="115">
        <v>1.4279952388320665</v>
      </c>
      <c r="H316" s="115">
        <v>1.4279952388320665</v>
      </c>
      <c r="I316" s="115">
        <v>1.5855999999999999</v>
      </c>
      <c r="J316" s="63"/>
      <c r="K316" s="60"/>
    </row>
    <row r="317" spans="2:11" ht="15" x14ac:dyDescent="0.25">
      <c r="B317" s="117">
        <v>44044</v>
      </c>
      <c r="C317" s="117">
        <v>44075</v>
      </c>
      <c r="D317" s="116">
        <f t="shared" si="4"/>
        <v>1.4247183865430175</v>
      </c>
      <c r="E317" s="116"/>
      <c r="F317" s="115">
        <v>1.0741171622594781</v>
      </c>
      <c r="G317" s="115">
        <v>1.4247183865430175</v>
      </c>
      <c r="H317" s="115">
        <v>1.4247183865430175</v>
      </c>
      <c r="I317" s="115">
        <v>1.5839999999999999</v>
      </c>
      <c r="J317" s="63"/>
      <c r="K317" s="60"/>
    </row>
    <row r="318" spans="2:11" ht="15" x14ac:dyDescent="0.25">
      <c r="B318" s="117">
        <v>44075</v>
      </c>
      <c r="C318" s="117">
        <v>44105</v>
      </c>
      <c r="D318" s="116">
        <f t="shared" si="4"/>
        <v>1.418335875105045</v>
      </c>
      <c r="E318" s="116"/>
      <c r="F318" s="115">
        <v>1.0741171622594781</v>
      </c>
      <c r="G318" s="115">
        <v>1.418335875105045</v>
      </c>
      <c r="H318" s="115">
        <v>1.418335875105045</v>
      </c>
      <c r="I318" s="115">
        <v>1.5823999999999998</v>
      </c>
      <c r="J318" s="63"/>
      <c r="K318" s="60"/>
    </row>
    <row r="319" spans="2:11" ht="15" x14ac:dyDescent="0.25">
      <c r="B319" s="117">
        <v>44105</v>
      </c>
      <c r="C319" s="117">
        <v>44136</v>
      </c>
      <c r="D319" s="116">
        <f t="shared" si="4"/>
        <v>1.4051276749604169</v>
      </c>
      <c r="E319" s="116"/>
      <c r="F319" s="115">
        <v>1.0741171622594781</v>
      </c>
      <c r="G319" s="115">
        <v>1.4051276749604169</v>
      </c>
      <c r="H319" s="115">
        <v>1.4051276749604169</v>
      </c>
      <c r="I319" s="115">
        <v>1.5808</v>
      </c>
      <c r="J319" s="63"/>
      <c r="K319" s="60"/>
    </row>
    <row r="320" spans="2:11" ht="15" x14ac:dyDescent="0.25">
      <c r="B320" s="117">
        <v>44136</v>
      </c>
      <c r="C320" s="117">
        <v>44166</v>
      </c>
      <c r="D320" s="116">
        <f t="shared" si="4"/>
        <v>1.3938375904775488</v>
      </c>
      <c r="E320" s="116"/>
      <c r="F320" s="115">
        <v>1.0741171622594781</v>
      </c>
      <c r="G320" s="115">
        <v>1.3938375904775488</v>
      </c>
      <c r="H320" s="115">
        <v>1.3938375904775488</v>
      </c>
      <c r="I320" s="115">
        <v>1.5792999999999999</v>
      </c>
      <c r="J320" s="63"/>
      <c r="K320" s="60"/>
    </row>
    <row r="321" spans="2:11" ht="15" x14ac:dyDescent="0.25">
      <c r="B321" s="117">
        <v>44166</v>
      </c>
      <c r="C321" s="117">
        <v>44197</v>
      </c>
      <c r="D321" s="116">
        <f t="shared" si="4"/>
        <v>1.3792178809395892</v>
      </c>
      <c r="E321" s="116"/>
      <c r="F321" s="115">
        <v>1.0741171622594781</v>
      </c>
      <c r="G321" s="115">
        <v>1.3792178809395892</v>
      </c>
      <c r="H321" s="115">
        <v>1.3792178809395892</v>
      </c>
      <c r="I321" s="115">
        <v>1.5776999999999999</v>
      </c>
      <c r="J321" s="63"/>
      <c r="K321" s="60"/>
    </row>
    <row r="322" spans="2:11" ht="15" x14ac:dyDescent="0.25">
      <c r="B322" s="117">
        <v>44197</v>
      </c>
      <c r="C322" s="117">
        <v>44228</v>
      </c>
      <c r="D322" s="116">
        <f t="shared" si="4"/>
        <v>1.3685432436392033</v>
      </c>
      <c r="E322" s="116"/>
      <c r="F322" s="115">
        <v>1.0741171622594781</v>
      </c>
      <c r="G322" s="115">
        <v>1.3685432436392033</v>
      </c>
      <c r="H322" s="115">
        <v>1.3685432436392033</v>
      </c>
      <c r="I322" s="115">
        <v>1.5761999999999998</v>
      </c>
      <c r="J322" s="63"/>
      <c r="K322" s="60"/>
    </row>
    <row r="323" spans="2:11" ht="15" x14ac:dyDescent="0.25">
      <c r="B323" s="117">
        <v>44228</v>
      </c>
      <c r="C323" s="117">
        <v>44256</v>
      </c>
      <c r="D323" s="116">
        <f t="shared" ref="D323:D386" si="5">VLOOKUP(C323,C:I,IF(índice_cm=1,4,IF(índice_cm=2,5,IF(índice_cm=3,6,7))),0)</f>
        <v>1.3620056166791434</v>
      </c>
      <c r="E323" s="116"/>
      <c r="F323" s="115">
        <v>1.0741171622594781</v>
      </c>
      <c r="G323" s="115">
        <v>1.3620056166791434</v>
      </c>
      <c r="H323" s="115">
        <v>1.3620056166791434</v>
      </c>
      <c r="I323" s="115">
        <v>1.5749</v>
      </c>
      <c r="J323" s="63"/>
      <c r="K323" s="60"/>
    </row>
    <row r="324" spans="2:11" ht="15" x14ac:dyDescent="0.25">
      <c r="B324" s="117">
        <v>44256</v>
      </c>
      <c r="C324" s="117">
        <v>44287</v>
      </c>
      <c r="D324" s="116">
        <f t="shared" si="5"/>
        <v>1.3494556788656924</v>
      </c>
      <c r="E324" s="116"/>
      <c r="F324" s="115">
        <v>1.0741171622594781</v>
      </c>
      <c r="G324" s="115">
        <v>1.3494556788656924</v>
      </c>
      <c r="H324" s="115">
        <v>1.3494556788656924</v>
      </c>
      <c r="I324" s="115">
        <v>1.5729</v>
      </c>
      <c r="J324" s="63"/>
      <c r="K324" s="60"/>
    </row>
    <row r="325" spans="2:11" ht="15" x14ac:dyDescent="0.25">
      <c r="B325" s="117">
        <v>44287</v>
      </c>
      <c r="C325" s="117">
        <v>44317</v>
      </c>
      <c r="D325" s="116">
        <f t="shared" si="5"/>
        <v>1.3414072354529745</v>
      </c>
      <c r="E325" s="116"/>
      <c r="F325" s="115">
        <v>1.0741171622594781</v>
      </c>
      <c r="G325" s="115">
        <v>1.3414072354529745</v>
      </c>
      <c r="H325" s="115">
        <v>1.3414072354529745</v>
      </c>
      <c r="I325" s="115">
        <v>1.5708</v>
      </c>
      <c r="J325" s="63"/>
      <c r="K325" s="60"/>
    </row>
    <row r="326" spans="2:11" ht="15" x14ac:dyDescent="0.25">
      <c r="B326" s="117">
        <v>44317</v>
      </c>
      <c r="C326" s="117">
        <v>44348</v>
      </c>
      <c r="D326" s="116">
        <f t="shared" si="5"/>
        <v>1.3355308994951958</v>
      </c>
      <c r="E326" s="116"/>
      <c r="F326" s="115">
        <v>1.0741171622594781</v>
      </c>
      <c r="G326" s="115">
        <v>1.3355308994951958</v>
      </c>
      <c r="H326" s="115">
        <v>1.3355308994951958</v>
      </c>
      <c r="I326" s="115">
        <v>1.5680999999999998</v>
      </c>
      <c r="J326" s="63"/>
      <c r="K326" s="60"/>
    </row>
    <row r="327" spans="2:11" ht="15" x14ac:dyDescent="0.25">
      <c r="B327" s="117">
        <v>44348</v>
      </c>
      <c r="C327" s="117">
        <v>44378</v>
      </c>
      <c r="D327" s="116">
        <f t="shared" si="5"/>
        <v>1.3245372403998767</v>
      </c>
      <c r="E327" s="116"/>
      <c r="F327" s="115">
        <v>1.0741171622594781</v>
      </c>
      <c r="G327" s="115">
        <v>1.3245372403998767</v>
      </c>
      <c r="H327" s="115">
        <v>1.3245372403998767</v>
      </c>
      <c r="I327" s="115">
        <v>1.5649999999999999</v>
      </c>
      <c r="J327" s="63"/>
      <c r="K327" s="60"/>
    </row>
    <row r="328" spans="2:11" ht="15" x14ac:dyDescent="0.25">
      <c r="B328" s="117">
        <v>44378</v>
      </c>
      <c r="C328" s="117">
        <v>44409</v>
      </c>
      <c r="D328" s="116">
        <f t="shared" si="5"/>
        <v>1.3150687454327608</v>
      </c>
      <c r="E328" s="116"/>
      <c r="F328" s="115">
        <v>1.0741171622594781</v>
      </c>
      <c r="G328" s="115">
        <v>1.3150687454327608</v>
      </c>
      <c r="H328" s="115">
        <v>1.3150687454327608</v>
      </c>
      <c r="I328" s="115">
        <v>1.5613999999999999</v>
      </c>
      <c r="J328" s="63"/>
      <c r="K328" s="60"/>
    </row>
    <row r="329" spans="2:11" ht="15" x14ac:dyDescent="0.25">
      <c r="B329" s="117">
        <v>44409</v>
      </c>
      <c r="C329" s="117">
        <v>44440</v>
      </c>
      <c r="D329" s="116">
        <f t="shared" si="5"/>
        <v>1.3034678812892861</v>
      </c>
      <c r="E329" s="116"/>
      <c r="F329" s="115">
        <v>1.0741171622594781</v>
      </c>
      <c r="G329" s="115">
        <v>1.3034678812892861</v>
      </c>
      <c r="H329" s="115">
        <v>1.3034678812892861</v>
      </c>
      <c r="I329" s="115">
        <v>1.5570999999999999</v>
      </c>
      <c r="J329" s="63"/>
      <c r="K329" s="60"/>
    </row>
    <row r="330" spans="2:11" ht="15" x14ac:dyDescent="0.25">
      <c r="B330" s="117">
        <v>44440</v>
      </c>
      <c r="C330" s="117">
        <v>44470</v>
      </c>
      <c r="D330" s="116">
        <f t="shared" si="5"/>
        <v>1.2887758367503324</v>
      </c>
      <c r="E330" s="116"/>
      <c r="F330" s="115">
        <v>1.0741171622594781</v>
      </c>
      <c r="G330" s="115">
        <v>1.2887758367503324</v>
      </c>
      <c r="H330" s="115">
        <v>1.2887758367503324</v>
      </c>
      <c r="I330" s="115">
        <v>1.5527</v>
      </c>
      <c r="J330" s="63"/>
      <c r="K330" s="60"/>
    </row>
    <row r="331" spans="2:11" ht="15" x14ac:dyDescent="0.25">
      <c r="B331" s="117">
        <v>44470</v>
      </c>
      <c r="C331" s="117">
        <v>44501</v>
      </c>
      <c r="D331" s="116">
        <f t="shared" si="5"/>
        <v>1.2734939098323441</v>
      </c>
      <c r="E331" s="116"/>
      <c r="F331" s="115">
        <v>1.0741171622594781</v>
      </c>
      <c r="G331" s="115">
        <v>1.2734939098323441</v>
      </c>
      <c r="H331" s="115">
        <v>1.2734939098323441</v>
      </c>
      <c r="I331" s="115">
        <v>1.5478000000000001</v>
      </c>
      <c r="J331" s="63"/>
      <c r="K331" s="60"/>
    </row>
    <row r="332" spans="2:11" ht="15" x14ac:dyDescent="0.25">
      <c r="B332" s="117">
        <v>44501</v>
      </c>
      <c r="C332" s="117">
        <v>44531</v>
      </c>
      <c r="D332" s="116">
        <f t="shared" si="5"/>
        <v>1.2587663436120826</v>
      </c>
      <c r="E332" s="116"/>
      <c r="F332" s="115">
        <v>1.0741171622594781</v>
      </c>
      <c r="G332" s="115">
        <v>1.2587663436120826</v>
      </c>
      <c r="H332" s="115">
        <v>1.2587663436120826</v>
      </c>
      <c r="I332" s="115">
        <v>1.5419</v>
      </c>
      <c r="J332" s="63"/>
      <c r="K332" s="60"/>
    </row>
    <row r="333" spans="2:11" ht="15" x14ac:dyDescent="0.25">
      <c r="B333" s="117">
        <v>44531</v>
      </c>
      <c r="C333" s="117">
        <v>44562</v>
      </c>
      <c r="D333" s="116">
        <f t="shared" si="5"/>
        <v>1.249023956749437</v>
      </c>
      <c r="E333" s="116"/>
      <c r="F333" s="115">
        <v>1.0735932487540865</v>
      </c>
      <c r="G333" s="115">
        <v>1.249023956749437</v>
      </c>
      <c r="H333" s="115">
        <v>1.249023956749437</v>
      </c>
      <c r="I333" s="115">
        <v>1.5341999999999998</v>
      </c>
      <c r="J333" s="63"/>
      <c r="K333" s="60"/>
    </row>
    <row r="334" spans="2:11" ht="15" x14ac:dyDescent="0.25">
      <c r="B334" s="117">
        <v>44562</v>
      </c>
      <c r="C334" s="117">
        <v>44593</v>
      </c>
      <c r="D334" s="116">
        <f t="shared" si="5"/>
        <v>1.2418213926719397</v>
      </c>
      <c r="E334" s="116"/>
      <c r="F334" s="115">
        <v>1.0729441175629602</v>
      </c>
      <c r="G334" s="115">
        <v>1.2418213926719397</v>
      </c>
      <c r="H334" s="115">
        <v>1.2418213926719397</v>
      </c>
      <c r="I334" s="115">
        <v>1.5268999999999999</v>
      </c>
      <c r="J334" s="63"/>
      <c r="K334" s="60"/>
    </row>
    <row r="335" spans="2:11" ht="15" x14ac:dyDescent="0.25">
      <c r="B335" s="117">
        <v>44593</v>
      </c>
      <c r="C335" s="117">
        <v>44621</v>
      </c>
      <c r="D335" s="116">
        <f t="shared" si="5"/>
        <v>1.2296478786730762</v>
      </c>
      <c r="E335" s="116"/>
      <c r="F335" s="115">
        <v>1.0729441175629602</v>
      </c>
      <c r="G335" s="115">
        <v>1.2296478786730762</v>
      </c>
      <c r="H335" s="115">
        <v>1.2296478786730762</v>
      </c>
      <c r="I335" s="115">
        <v>1.5192999999999999</v>
      </c>
      <c r="J335" s="63"/>
      <c r="K335" s="60"/>
    </row>
    <row r="336" spans="2:11" ht="15" x14ac:dyDescent="0.25">
      <c r="B336" s="117">
        <v>44621</v>
      </c>
      <c r="C336" s="117">
        <v>44652</v>
      </c>
      <c r="D336" s="116">
        <f t="shared" si="5"/>
        <v>1.2180761551986885</v>
      </c>
      <c r="E336" s="116"/>
      <c r="F336" s="115">
        <v>1.0719032994591846</v>
      </c>
      <c r="G336" s="115">
        <v>1.2180761551986885</v>
      </c>
      <c r="H336" s="115">
        <v>1.2180761551986885</v>
      </c>
      <c r="I336" s="115">
        <v>1.51</v>
      </c>
      <c r="J336" s="63"/>
      <c r="K336" s="60"/>
    </row>
    <row r="337" spans="2:10" ht="15" x14ac:dyDescent="0.25">
      <c r="B337" s="117">
        <v>44652</v>
      </c>
      <c r="C337" s="117">
        <v>44682</v>
      </c>
      <c r="D337" s="116">
        <f t="shared" si="5"/>
        <v>1.1973617961257135</v>
      </c>
      <c r="E337" s="116"/>
      <c r="F337" s="115">
        <v>1.0713087231178522</v>
      </c>
      <c r="G337" s="115">
        <v>1.1973617961257135</v>
      </c>
      <c r="H337" s="115">
        <v>1.1973617961257135</v>
      </c>
      <c r="I337" s="115">
        <v>1.5017</v>
      </c>
      <c r="J337" s="10"/>
    </row>
    <row r="338" spans="2:10" ht="15" x14ac:dyDescent="0.25">
      <c r="B338" s="117">
        <v>44682</v>
      </c>
      <c r="C338" s="117">
        <v>44713</v>
      </c>
      <c r="D338" s="116">
        <f t="shared" si="5"/>
        <v>1.1903387972221031</v>
      </c>
      <c r="E338" s="118"/>
      <c r="F338" s="115">
        <v>1.0695300945705808</v>
      </c>
      <c r="G338" s="115">
        <v>1.1903387972221031</v>
      </c>
      <c r="H338" s="115">
        <v>1.1903387972221031</v>
      </c>
      <c r="I338" s="115">
        <v>1.4914000000000001</v>
      </c>
      <c r="J338" s="10"/>
    </row>
    <row r="339" spans="2:10" ht="15" x14ac:dyDescent="0.25">
      <c r="B339" s="117">
        <v>44713</v>
      </c>
      <c r="C339" s="117">
        <v>44743</v>
      </c>
      <c r="D339" s="116">
        <f t="shared" si="5"/>
        <v>1.1821817431940642</v>
      </c>
      <c r="E339" s="118"/>
      <c r="F339" s="115">
        <v>1.0679452637991012</v>
      </c>
      <c r="G339" s="115">
        <v>1.1821817431940642</v>
      </c>
      <c r="H339" s="115">
        <v>1.1821817431940642</v>
      </c>
      <c r="I339" s="115">
        <v>1.4811999999999999</v>
      </c>
      <c r="J339" s="10"/>
    </row>
    <row r="340" spans="2:10" ht="15" x14ac:dyDescent="0.25">
      <c r="B340" s="117">
        <v>44743</v>
      </c>
      <c r="C340" s="117">
        <v>44774</v>
      </c>
      <c r="D340" s="116">
        <f t="shared" si="5"/>
        <v>1.1806469022211765</v>
      </c>
      <c r="E340" s="118"/>
      <c r="F340" s="115">
        <v>1.066206281354213</v>
      </c>
      <c r="G340" s="115">
        <v>1.1806469022211765</v>
      </c>
      <c r="H340" s="115">
        <v>1.1806469022211765</v>
      </c>
      <c r="I340" s="115">
        <v>1.4708999999999999</v>
      </c>
      <c r="J340" s="10"/>
    </row>
    <row r="341" spans="2:10" ht="15" x14ac:dyDescent="0.25">
      <c r="B341" s="117">
        <v>44774</v>
      </c>
      <c r="C341" s="117">
        <v>44805</v>
      </c>
      <c r="D341" s="116">
        <f t="shared" si="5"/>
        <v>1.1893290039500115</v>
      </c>
      <c r="E341" s="118"/>
      <c r="F341" s="115">
        <v>1.0636439630472345</v>
      </c>
      <c r="G341" s="115">
        <v>1.1893290039500115</v>
      </c>
      <c r="H341" s="115">
        <v>1.1893290039500115</v>
      </c>
      <c r="I341" s="115">
        <v>1.4592000000000001</v>
      </c>
      <c r="J341" s="10"/>
    </row>
    <row r="342" spans="2:10" ht="15" x14ac:dyDescent="0.25">
      <c r="B342" s="117">
        <v>44805</v>
      </c>
      <c r="C342" s="117">
        <v>44835</v>
      </c>
      <c r="D342" s="116">
        <f t="shared" si="5"/>
        <v>1.1937458636454998</v>
      </c>
      <c r="E342" s="118"/>
      <c r="F342" s="115">
        <v>1.0617275448288173</v>
      </c>
      <c r="G342" s="115">
        <v>1.1937458636454998</v>
      </c>
      <c r="H342" s="115">
        <v>1.1937458636454998</v>
      </c>
      <c r="I342" s="115">
        <v>1.4484999999999999</v>
      </c>
      <c r="J342" s="10"/>
    </row>
    <row r="343" spans="2:10" ht="15" x14ac:dyDescent="0.25">
      <c r="B343" s="117">
        <v>44835</v>
      </c>
      <c r="C343" s="117">
        <v>44866</v>
      </c>
      <c r="D343" s="116">
        <f t="shared" si="5"/>
        <v>1.1918389213713056</v>
      </c>
      <c r="E343" s="118"/>
      <c r="F343" s="115">
        <v>1.0601436901557233</v>
      </c>
      <c r="G343" s="115">
        <v>1.1918389213713056</v>
      </c>
      <c r="H343" s="115">
        <v>1.1918389213713056</v>
      </c>
      <c r="I343" s="115">
        <v>1.4382999999999999</v>
      </c>
      <c r="J343" s="10"/>
    </row>
    <row r="344" spans="2:10" ht="15" x14ac:dyDescent="0.25">
      <c r="B344" s="117">
        <v>44866</v>
      </c>
      <c r="C344" s="117">
        <v>44896</v>
      </c>
      <c r="D344" s="116">
        <f t="shared" si="5"/>
        <v>1.1855554773413961</v>
      </c>
      <c r="E344" s="118"/>
      <c r="F344" s="115">
        <v>1.0585484576300739</v>
      </c>
      <c r="G344" s="115">
        <v>1.1855554773413961</v>
      </c>
      <c r="H344" s="115">
        <v>1.1855554773413961</v>
      </c>
      <c r="I344" s="115">
        <v>1.4280999999999999</v>
      </c>
      <c r="J344" s="10"/>
    </row>
    <row r="345" spans="2:10" ht="15" x14ac:dyDescent="0.25">
      <c r="B345" s="117">
        <v>44896</v>
      </c>
      <c r="C345" s="117">
        <v>44927</v>
      </c>
      <c r="D345" s="116">
        <f t="shared" si="5"/>
        <v>1.1794224804430919</v>
      </c>
      <c r="E345" s="118"/>
      <c r="F345" s="115">
        <v>1.0563596803723441</v>
      </c>
      <c r="G345" s="115">
        <v>1.1794224804430919</v>
      </c>
      <c r="H345" s="115">
        <v>1.1794224804430919</v>
      </c>
      <c r="I345" s="115">
        <v>1.4169</v>
      </c>
      <c r="J345" s="10"/>
    </row>
    <row r="346" spans="2:10" ht="15" x14ac:dyDescent="0.25">
      <c r="B346" s="117">
        <v>44927</v>
      </c>
      <c r="C346" s="117">
        <v>44958</v>
      </c>
      <c r="D346" s="116">
        <f t="shared" si="5"/>
        <v>1.172971139177615</v>
      </c>
      <c r="E346" s="118"/>
      <c r="F346" s="115">
        <v>1.0541659610074856</v>
      </c>
      <c r="G346" s="115">
        <v>1.172971139177615</v>
      </c>
      <c r="H346" s="115">
        <v>1.172971139177615</v>
      </c>
      <c r="I346" s="115">
        <v>1.4056999999999999</v>
      </c>
      <c r="J346" s="10"/>
    </row>
    <row r="347" spans="2:10" ht="15" x14ac:dyDescent="0.25">
      <c r="B347" s="117">
        <v>44958</v>
      </c>
      <c r="C347" s="117">
        <v>44986</v>
      </c>
      <c r="D347" s="116">
        <f t="shared" si="5"/>
        <v>1.1641237983104555</v>
      </c>
      <c r="E347" s="118"/>
      <c r="F347" s="115">
        <v>1.0532917288725223</v>
      </c>
      <c r="G347" s="115">
        <v>1.1641237983104555</v>
      </c>
      <c r="H347" s="115">
        <v>1.1641237983104555</v>
      </c>
      <c r="I347" s="115">
        <v>1.3964999999999999</v>
      </c>
      <c r="J347" s="10"/>
    </row>
    <row r="348" spans="2:10" ht="15" x14ac:dyDescent="0.25">
      <c r="B348" s="117">
        <v>44986</v>
      </c>
      <c r="C348" s="117">
        <v>45017</v>
      </c>
      <c r="D348" s="116">
        <f t="shared" si="5"/>
        <v>1.1561463882316572</v>
      </c>
      <c r="E348" s="118"/>
      <c r="F348" s="115">
        <v>1.0507782672572425</v>
      </c>
      <c r="G348" s="115">
        <v>1.1561463882316572</v>
      </c>
      <c r="H348" s="115">
        <v>1.1561463882316572</v>
      </c>
      <c r="I348" s="115">
        <v>1.3847999999999998</v>
      </c>
      <c r="J348" s="10"/>
    </row>
    <row r="349" spans="2:10" ht="15" x14ac:dyDescent="0.25">
      <c r="B349" s="117">
        <v>45017</v>
      </c>
      <c r="C349" s="117">
        <v>45047</v>
      </c>
      <c r="D349" s="116">
        <f t="shared" si="5"/>
        <v>1.1495937041181834</v>
      </c>
      <c r="E349" s="118"/>
      <c r="F349" s="115">
        <v>1.0499162859864501</v>
      </c>
      <c r="G349" s="115">
        <v>1.1495937041181834</v>
      </c>
      <c r="H349" s="115">
        <v>1.1495937041181834</v>
      </c>
      <c r="I349" s="115">
        <v>1.3755999999999999</v>
      </c>
      <c r="J349" s="10"/>
    </row>
    <row r="350" spans="2:10" ht="15" x14ac:dyDescent="0.25">
      <c r="B350" s="117">
        <v>45047</v>
      </c>
      <c r="C350" s="117">
        <v>45078</v>
      </c>
      <c r="D350" s="116">
        <f t="shared" si="5"/>
        <v>1.1437605254384473</v>
      </c>
      <c r="E350" s="118"/>
      <c r="F350" s="115">
        <v>1.0476669450554148</v>
      </c>
      <c r="G350" s="115">
        <v>1.1437605254384473</v>
      </c>
      <c r="H350" s="115">
        <v>1.1437605254384473</v>
      </c>
      <c r="I350" s="115">
        <v>1.3643999999999998</v>
      </c>
      <c r="J350" s="10"/>
    </row>
    <row r="351" spans="2:10" ht="15" x14ac:dyDescent="0.25">
      <c r="B351" s="117">
        <v>45078</v>
      </c>
      <c r="C351" s="117">
        <v>45108</v>
      </c>
      <c r="D351" s="116">
        <f t="shared" si="5"/>
        <v>1.1433032041567845</v>
      </c>
      <c r="E351" s="118"/>
      <c r="F351" s="115">
        <v>1.0457855768027469</v>
      </c>
      <c r="G351" s="115">
        <v>1.1433032041567845</v>
      </c>
      <c r="H351" s="115">
        <v>1.1433032041567845</v>
      </c>
      <c r="I351" s="115">
        <v>1.3536999999999999</v>
      </c>
      <c r="J351" s="10"/>
    </row>
    <row r="352" spans="2:10" ht="15" x14ac:dyDescent="0.25">
      <c r="B352" s="117">
        <v>45108</v>
      </c>
      <c r="C352" s="117">
        <v>45139</v>
      </c>
      <c r="D352" s="116">
        <f t="shared" si="5"/>
        <v>1.1441040770106921</v>
      </c>
      <c r="E352" s="118"/>
      <c r="F352" s="115">
        <v>1.0441347996844472</v>
      </c>
      <c r="G352" s="115">
        <v>1.1441040770106921</v>
      </c>
      <c r="H352" s="115">
        <v>1.1441040770106921</v>
      </c>
      <c r="I352" s="115">
        <v>1.343</v>
      </c>
      <c r="J352" s="10"/>
    </row>
    <row r="353" spans="2:10" ht="15" x14ac:dyDescent="0.25">
      <c r="B353" s="117">
        <v>45139</v>
      </c>
      <c r="C353" s="117">
        <v>45170</v>
      </c>
      <c r="D353" s="116">
        <f t="shared" si="5"/>
        <v>1.1409095303257799</v>
      </c>
      <c r="E353" s="118"/>
      <c r="F353" s="115">
        <v>1.0418843295326581</v>
      </c>
      <c r="G353" s="115">
        <v>1.1409095303257799</v>
      </c>
      <c r="H353" s="115">
        <v>1.1409095303257799</v>
      </c>
      <c r="I353" s="115">
        <v>1.3315999999999999</v>
      </c>
      <c r="J353" s="10"/>
    </row>
    <row r="354" spans="2:10" ht="15" x14ac:dyDescent="0.25">
      <c r="B354" s="117">
        <v>45170</v>
      </c>
      <c r="C354" s="117">
        <v>45200</v>
      </c>
      <c r="D354" s="116">
        <f t="shared" si="5"/>
        <v>1.1369302743655005</v>
      </c>
      <c r="E354" s="118"/>
      <c r="F354" s="116">
        <v>1.0407083291207524</v>
      </c>
      <c r="G354" s="116">
        <v>1.1369302743655005</v>
      </c>
      <c r="H354" s="116">
        <v>1.1369302743655005</v>
      </c>
      <c r="I354" s="116">
        <v>1.3219000000000001</v>
      </c>
      <c r="J354" s="10"/>
    </row>
    <row r="355" spans="2:10" ht="15" x14ac:dyDescent="0.25">
      <c r="B355" s="117">
        <v>45200</v>
      </c>
      <c r="C355" s="117">
        <v>45231</v>
      </c>
      <c r="D355" s="116">
        <f t="shared" si="5"/>
        <v>1.1345477241447965</v>
      </c>
      <c r="E355" s="118"/>
      <c r="F355" s="116">
        <v>1.0396105004322975</v>
      </c>
      <c r="G355" s="116">
        <v>1.1345477241447965</v>
      </c>
      <c r="H355" s="116">
        <v>1.1345477241447965</v>
      </c>
      <c r="I355" s="116">
        <v>1.3119000000000001</v>
      </c>
      <c r="J355" s="10"/>
    </row>
    <row r="356" spans="2:10" ht="15" x14ac:dyDescent="0.25">
      <c r="B356" s="117">
        <v>45231</v>
      </c>
      <c r="C356" s="117">
        <v>45261</v>
      </c>
      <c r="D356" s="116">
        <f t="shared" si="5"/>
        <v>1.1308160312416988</v>
      </c>
      <c r="E356" s="118"/>
      <c r="F356" s="116">
        <v>1.0388054262269695</v>
      </c>
      <c r="G356" s="116">
        <v>1.1308160312416988</v>
      </c>
      <c r="H356" s="116">
        <v>1.1308160312416988</v>
      </c>
      <c r="I356" s="116">
        <v>1.3027</v>
      </c>
      <c r="J356" s="10"/>
    </row>
    <row r="357" spans="2:10" ht="15" x14ac:dyDescent="0.25">
      <c r="B357" s="117">
        <v>45261</v>
      </c>
      <c r="C357" s="117">
        <v>45292</v>
      </c>
      <c r="D357" s="116">
        <f t="shared" si="5"/>
        <v>1.1263107880893415</v>
      </c>
      <c r="E357" s="118"/>
      <c r="F357" s="116">
        <v>1.0380891447171157</v>
      </c>
      <c r="G357" s="116">
        <v>1.1263107880893415</v>
      </c>
      <c r="H357" s="116">
        <v>1.1263107880893415</v>
      </c>
      <c r="I357" s="116">
        <v>1.2938000000000001</v>
      </c>
      <c r="J357" s="10"/>
    </row>
    <row r="358" spans="2:10" ht="15" x14ac:dyDescent="0.25">
      <c r="B358" s="117">
        <v>45292</v>
      </c>
      <c r="C358" s="117">
        <v>45323</v>
      </c>
      <c r="D358" s="116">
        <f t="shared" si="5"/>
        <v>1.1228300150427091</v>
      </c>
      <c r="E358" s="118"/>
      <c r="F358" s="116">
        <v>1.0371816108076575</v>
      </c>
      <c r="G358" s="116">
        <v>1.1228300150427091</v>
      </c>
      <c r="H358" s="116">
        <v>1.1228300150427091</v>
      </c>
      <c r="I358" s="116">
        <v>1.2841</v>
      </c>
      <c r="J358" s="10"/>
    </row>
    <row r="359" spans="2:10" ht="15" x14ac:dyDescent="0.25">
      <c r="B359" s="117">
        <v>45323</v>
      </c>
      <c r="C359" s="117">
        <v>45352</v>
      </c>
      <c r="D359" s="116">
        <f t="shared" si="5"/>
        <v>1.1141397251862561</v>
      </c>
      <c r="E359" s="118"/>
      <c r="F359" s="116">
        <v>1.0370996799329415</v>
      </c>
      <c r="G359" s="116">
        <v>1.1141397251862561</v>
      </c>
      <c r="H359" s="116">
        <v>1.1141397251862561</v>
      </c>
      <c r="I359" s="116">
        <v>1.2761</v>
      </c>
      <c r="J359" s="10"/>
    </row>
    <row r="360" spans="2:10" ht="15" x14ac:dyDescent="0.25">
      <c r="B360" s="117">
        <v>45352</v>
      </c>
      <c r="C360" s="117">
        <v>45383</v>
      </c>
      <c r="D360" s="116">
        <f t="shared" si="5"/>
        <v>1.1101432096315824</v>
      </c>
      <c r="E360" s="118"/>
      <c r="F360" s="116">
        <v>1.036756513526965</v>
      </c>
      <c r="G360" s="116">
        <v>1.1101432096315824</v>
      </c>
      <c r="H360" s="116">
        <v>1.1101432096315824</v>
      </c>
      <c r="I360" s="116">
        <v>1.2678</v>
      </c>
      <c r="J360" s="10"/>
    </row>
    <row r="361" spans="2:10" ht="15" x14ac:dyDescent="0.25">
      <c r="B361" s="117">
        <v>45383</v>
      </c>
      <c r="C361" s="117">
        <v>45413</v>
      </c>
      <c r="D361" s="116">
        <f t="shared" si="5"/>
        <v>1.1078167943634192</v>
      </c>
      <c r="E361" s="118"/>
      <c r="F361" s="116">
        <v>1.0356969955005655</v>
      </c>
      <c r="G361" s="116">
        <v>1.1078167943634192</v>
      </c>
      <c r="H361" s="116">
        <v>1.1078167943634192</v>
      </c>
      <c r="I361" s="116">
        <v>1.2589000000000001</v>
      </c>
      <c r="J361" s="10"/>
    </row>
    <row r="362" spans="2:10" ht="15" x14ac:dyDescent="0.25">
      <c r="B362" s="117">
        <v>45413</v>
      </c>
      <c r="C362" s="117">
        <v>45444</v>
      </c>
      <c r="D362" s="116">
        <f t="shared" si="5"/>
        <v>1.1029637538464947</v>
      </c>
      <c r="E362" s="118"/>
      <c r="F362" s="116">
        <v>1.0347967223521208</v>
      </c>
      <c r="G362" s="116">
        <v>1.1029637538464947</v>
      </c>
      <c r="H362" s="116">
        <v>1.1029637538464947</v>
      </c>
      <c r="I362" s="116">
        <v>1.2505999999999999</v>
      </c>
      <c r="J362" s="10"/>
    </row>
    <row r="363" spans="2:10" ht="15" x14ac:dyDescent="0.25">
      <c r="B363" s="117">
        <v>45444</v>
      </c>
      <c r="C363" s="117">
        <v>45474</v>
      </c>
      <c r="D363" s="116">
        <f t="shared" si="5"/>
        <v>1.0986789061126554</v>
      </c>
      <c r="E363" s="118"/>
      <c r="F363" s="116">
        <v>1.0344191593589545</v>
      </c>
      <c r="G363" s="116">
        <v>1.0986789061126554</v>
      </c>
      <c r="H363" s="116">
        <v>1.0986789061126554</v>
      </c>
      <c r="I363" s="116">
        <v>1.2426999999999999</v>
      </c>
      <c r="J363" s="10"/>
    </row>
    <row r="364" spans="2:10" ht="15" x14ac:dyDescent="0.25">
      <c r="B364" s="117">
        <v>45474</v>
      </c>
      <c r="C364" s="117">
        <v>45505</v>
      </c>
      <c r="D364" s="116">
        <f t="shared" si="5"/>
        <v>1.0953927279288689</v>
      </c>
      <c r="E364" s="118"/>
      <c r="F364" s="116">
        <v>1.0336552881010501</v>
      </c>
      <c r="G364" s="116">
        <v>1.0953927279288689</v>
      </c>
      <c r="H364" s="116">
        <v>1.0953927279288689</v>
      </c>
      <c r="I364" s="116">
        <v>1.2336</v>
      </c>
      <c r="J364" s="10"/>
    </row>
    <row r="365" spans="2:10" ht="15" x14ac:dyDescent="0.25">
      <c r="B365" s="117">
        <v>45505</v>
      </c>
      <c r="C365" s="117">
        <v>45536</v>
      </c>
      <c r="D365" s="116">
        <f t="shared" si="5"/>
        <v>1.0933154286145013</v>
      </c>
      <c r="E365" s="118"/>
      <c r="F365" s="116">
        <v>1.0329250101188967</v>
      </c>
      <c r="G365" s="116">
        <v>1.0933154286145013</v>
      </c>
      <c r="H365" s="116">
        <v>1.0933154286145013</v>
      </c>
      <c r="I365" s="116">
        <v>1.2248999999999999</v>
      </c>
      <c r="J365" s="10"/>
    </row>
    <row r="366" spans="2:10" ht="15" x14ac:dyDescent="0.25">
      <c r="B366" s="117">
        <v>45536</v>
      </c>
      <c r="C366" s="117">
        <v>45566</v>
      </c>
      <c r="D366" s="116">
        <f t="shared" si="5"/>
        <v>1.0918959638614814</v>
      </c>
      <c r="E366" s="118"/>
      <c r="F366" s="116">
        <v>1.0322282560460645</v>
      </c>
      <c r="G366" s="116">
        <v>1.0918959638614814</v>
      </c>
      <c r="H366" s="116">
        <v>1.0918959638614814</v>
      </c>
      <c r="I366" s="116">
        <v>1.2164999999999999</v>
      </c>
      <c r="J366" s="10"/>
    </row>
    <row r="367" spans="2:10" ht="15" x14ac:dyDescent="0.25">
      <c r="B367" s="117">
        <v>45566</v>
      </c>
      <c r="C367" s="117">
        <v>45597</v>
      </c>
      <c r="D367" s="116">
        <f t="shared" si="5"/>
        <v>1.0860313943320881</v>
      </c>
      <c r="E367" s="118"/>
      <c r="F367" s="116">
        <v>1.0312207533700231</v>
      </c>
      <c r="G367" s="116">
        <v>1.0860313943320881</v>
      </c>
      <c r="H367" s="116">
        <v>1.0860313943320881</v>
      </c>
      <c r="I367" s="116">
        <v>1.2072000000000001</v>
      </c>
      <c r="J367" s="10"/>
    </row>
    <row r="368" spans="2:10" ht="15" x14ac:dyDescent="0.25">
      <c r="B368" s="117">
        <v>45597</v>
      </c>
      <c r="C368" s="117">
        <v>45627</v>
      </c>
      <c r="D368" s="116">
        <f t="shared" si="5"/>
        <v>1.0793394894972055</v>
      </c>
      <c r="E368" s="118"/>
      <c r="F368" s="116">
        <v>1.0305519251705879</v>
      </c>
      <c r="G368" s="116">
        <v>1.0793394894972055</v>
      </c>
      <c r="H368" s="116">
        <v>1.0793394894972055</v>
      </c>
      <c r="I368" s="116">
        <v>1.1993</v>
      </c>
      <c r="J368" s="10"/>
    </row>
    <row r="369" spans="2:10" ht="15" x14ac:dyDescent="0.25">
      <c r="B369" s="117">
        <v>45627</v>
      </c>
      <c r="C369" s="117">
        <v>45658</v>
      </c>
      <c r="D369" s="116">
        <f t="shared" si="5"/>
        <v>1.0756821701188015</v>
      </c>
      <c r="E369" s="118"/>
      <c r="F369" s="116">
        <v>1.0297055072436352</v>
      </c>
      <c r="G369" s="116">
        <v>1.0756821701188015</v>
      </c>
      <c r="H369" s="116">
        <v>1.0756821701188015</v>
      </c>
      <c r="I369" s="116">
        <v>1.19</v>
      </c>
      <c r="J369" s="10"/>
    </row>
    <row r="370" spans="2:10" ht="15" x14ac:dyDescent="0.25">
      <c r="B370" s="117">
        <v>45658</v>
      </c>
      <c r="C370" s="117">
        <v>45689</v>
      </c>
      <c r="D370" s="116">
        <f t="shared" si="5"/>
        <v>1.0745002198769367</v>
      </c>
      <c r="E370" s="118"/>
      <c r="F370" s="116">
        <v>1.0279682409164872</v>
      </c>
      <c r="G370" s="116">
        <v>1.0745002198769367</v>
      </c>
      <c r="H370" s="116">
        <v>1.0745002198769367</v>
      </c>
      <c r="I370" s="116">
        <v>1.1798999999999999</v>
      </c>
      <c r="J370" s="10"/>
    </row>
    <row r="371" spans="2:10" ht="15" x14ac:dyDescent="0.25">
      <c r="B371" s="117">
        <v>45689</v>
      </c>
      <c r="C371" s="117">
        <v>45717</v>
      </c>
      <c r="D371" s="116">
        <f t="shared" si="5"/>
        <v>1.0614444531037603</v>
      </c>
      <c r="E371" s="118"/>
      <c r="F371" s="116">
        <v>1.0266090105864727</v>
      </c>
      <c r="G371" s="116">
        <v>1.0614444531037603</v>
      </c>
      <c r="H371" s="116">
        <v>1.0614444531037603</v>
      </c>
      <c r="I371" s="116">
        <v>1.17</v>
      </c>
      <c r="J371" s="10"/>
    </row>
    <row r="372" spans="2:10" ht="15" x14ac:dyDescent="0.25">
      <c r="B372" s="117">
        <v>45717</v>
      </c>
      <c r="C372" s="117">
        <v>45748</v>
      </c>
      <c r="D372" s="116">
        <f t="shared" si="5"/>
        <v>1.0546944088868844</v>
      </c>
      <c r="E372" s="118"/>
      <c r="F372" s="116">
        <v>1.0254891764058389</v>
      </c>
      <c r="G372" s="116">
        <v>1.0546944088868844</v>
      </c>
      <c r="H372" s="116">
        <v>1.0546944088868844</v>
      </c>
      <c r="I372" s="116">
        <v>1.1604000000000001</v>
      </c>
      <c r="J372" s="10"/>
    </row>
    <row r="373" spans="2:10" ht="15" x14ac:dyDescent="0.25">
      <c r="B373" s="117">
        <v>45748</v>
      </c>
      <c r="C373" s="117">
        <v>45778</v>
      </c>
      <c r="D373" s="116">
        <f t="shared" si="5"/>
        <v>1.0501786407317379</v>
      </c>
      <c r="E373" s="118"/>
      <c r="F373" s="116">
        <v>1.0237600456886697</v>
      </c>
      <c r="G373" s="116">
        <v>1.0501786407317379</v>
      </c>
      <c r="H373" s="116">
        <v>1.0501786407317379</v>
      </c>
      <c r="I373" s="116">
        <v>1.1497999999999999</v>
      </c>
      <c r="J373" s="10"/>
    </row>
    <row r="374" spans="2:10" ht="15" x14ac:dyDescent="0.25">
      <c r="B374" s="117">
        <v>45778</v>
      </c>
      <c r="C374" s="117">
        <v>45809</v>
      </c>
      <c r="D374" s="116">
        <f t="shared" si="5"/>
        <v>1.0464115591189098</v>
      </c>
      <c r="E374" s="118"/>
      <c r="F374" s="116">
        <v>1.0220103639455937</v>
      </c>
      <c r="G374" s="116">
        <v>1.0464115591189098</v>
      </c>
      <c r="H374" s="116">
        <v>1.0464115591189098</v>
      </c>
      <c r="I374" s="116">
        <v>1.1384000000000001</v>
      </c>
      <c r="J374" s="10"/>
    </row>
    <row r="375" spans="2:10" ht="15" x14ac:dyDescent="0.25">
      <c r="B375" s="117">
        <v>45809</v>
      </c>
      <c r="C375" s="117">
        <v>45839</v>
      </c>
      <c r="D375" s="116">
        <f t="shared" si="5"/>
        <v>1.0436979444633052</v>
      </c>
      <c r="E375" s="118"/>
      <c r="F375" s="116">
        <v>1.0202769134696101</v>
      </c>
      <c r="G375" s="116">
        <v>1.0436979444633052</v>
      </c>
      <c r="H375" s="116">
        <v>1.0436979444633052</v>
      </c>
      <c r="I375" s="116">
        <v>1.1274</v>
      </c>
      <c r="J375" s="10"/>
    </row>
    <row r="376" spans="2:10" ht="15" x14ac:dyDescent="0.25">
      <c r="B376" s="117">
        <v>45839</v>
      </c>
      <c r="C376" s="117">
        <v>45870</v>
      </c>
      <c r="D376" s="116">
        <f t="shared" si="5"/>
        <v>1.0402650697331857</v>
      </c>
      <c r="E376" s="118"/>
      <c r="F376" s="116">
        <v>1.0184864143531778</v>
      </c>
      <c r="G376" s="116">
        <v>1.0402650697331857</v>
      </c>
      <c r="H376" s="116">
        <v>1.0402650697331857</v>
      </c>
      <c r="I376" s="116">
        <v>1.1146</v>
      </c>
      <c r="J376" s="10"/>
    </row>
    <row r="377" spans="2:10" ht="15" x14ac:dyDescent="0.25">
      <c r="B377" s="117">
        <v>45870</v>
      </c>
      <c r="C377" s="117">
        <v>45901</v>
      </c>
      <c r="D377" s="116">
        <f t="shared" si="5"/>
        <v>1.041723482608838</v>
      </c>
      <c r="E377" s="118"/>
      <c r="F377" s="116">
        <v>1.0167355956574571</v>
      </c>
      <c r="G377" s="116">
        <v>1.041723482608838</v>
      </c>
      <c r="H377" s="116">
        <v>1.041723482608838</v>
      </c>
      <c r="I377" s="116">
        <v>1.103</v>
      </c>
      <c r="J377" s="10"/>
    </row>
    <row r="378" spans="2:10" ht="15" x14ac:dyDescent="0.25">
      <c r="B378" s="117">
        <v>45901</v>
      </c>
      <c r="C378" s="117">
        <v>45931</v>
      </c>
      <c r="D378" s="116">
        <f t="shared" si="5"/>
        <v>1.03674709654542</v>
      </c>
      <c r="E378" s="118"/>
      <c r="F378" s="116">
        <v>1.014967522233726</v>
      </c>
      <c r="G378" s="116">
        <v>1.03674709654542</v>
      </c>
      <c r="H378" s="116">
        <v>1.03674709654542</v>
      </c>
      <c r="I378" s="116">
        <v>1.0908</v>
      </c>
      <c r="J378" s="10"/>
    </row>
    <row r="379" spans="2:10" ht="15" x14ac:dyDescent="0.25">
      <c r="B379" s="117">
        <v>45931</v>
      </c>
      <c r="C379" s="117">
        <v>45962</v>
      </c>
      <c r="D379" s="116">
        <f t="shared" si="5"/>
        <v>1.0348843047967857</v>
      </c>
      <c r="E379" s="118"/>
      <c r="F379" s="116">
        <v>1.0131863406468695</v>
      </c>
      <c r="G379" s="116">
        <v>1.0348843047967857</v>
      </c>
      <c r="H379" s="116">
        <v>1.0348843047967857</v>
      </c>
      <c r="I379" s="116">
        <v>1.0780000000000001</v>
      </c>
      <c r="J379" s="10"/>
    </row>
    <row r="380" spans="2:10" ht="15" x14ac:dyDescent="0.25">
      <c r="B380" s="117">
        <v>45962</v>
      </c>
      <c r="C380" s="117">
        <v>45992</v>
      </c>
      <c r="D380" s="116">
        <f t="shared" si="5"/>
        <v>1.032818667461862</v>
      </c>
      <c r="E380" s="118"/>
      <c r="F380" s="116">
        <v>1.0115334949161765</v>
      </c>
      <c r="G380" s="116">
        <v>1.032818667461862</v>
      </c>
      <c r="H380" s="116">
        <v>1.032818667461862</v>
      </c>
      <c r="I380" s="116">
        <v>1.0674999999999999</v>
      </c>
      <c r="J380" s="10"/>
    </row>
    <row r="381" spans="2:10" ht="15" x14ac:dyDescent="0.25">
      <c r="B381" s="117">
        <v>45992</v>
      </c>
      <c r="C381" s="117">
        <v>46023</v>
      </c>
      <c r="D381" s="116">
        <f t="shared" si="5"/>
        <v>1.0302430598123313</v>
      </c>
      <c r="E381" s="118"/>
      <c r="F381" s="116">
        <v>1.0097744677932816</v>
      </c>
      <c r="G381" s="116">
        <v>1.0302430598123313</v>
      </c>
      <c r="H381" s="116">
        <v>1.0302430598123313</v>
      </c>
      <c r="I381" s="116">
        <v>1.0552999999999999</v>
      </c>
      <c r="J381" s="10"/>
    </row>
    <row r="382" spans="2:10" ht="15" x14ac:dyDescent="0.25">
      <c r="B382" s="117">
        <v>46023</v>
      </c>
      <c r="C382" s="117">
        <v>46054</v>
      </c>
      <c r="D382" s="116">
        <f t="shared" si="5"/>
        <v>1.0281866864394524</v>
      </c>
      <c r="E382" s="118"/>
      <c r="F382" s="116">
        <v>1.0080426505196893</v>
      </c>
      <c r="G382" s="116">
        <v>1.0281866864394524</v>
      </c>
      <c r="H382" s="116">
        <v>1.0281866864394524</v>
      </c>
      <c r="I382" s="116">
        <v>1.0437000000000001</v>
      </c>
      <c r="J382" s="10"/>
    </row>
    <row r="383" spans="2:10" ht="15" x14ac:dyDescent="0.25">
      <c r="B383" s="117">
        <v>46054</v>
      </c>
      <c r="C383" s="117">
        <v>46082</v>
      </c>
      <c r="D383" s="116">
        <f t="shared" si="5"/>
        <v>1.0196218627919997</v>
      </c>
      <c r="E383" s="118"/>
      <c r="F383" s="116">
        <v>1.0068274098360164</v>
      </c>
      <c r="G383" s="116">
        <v>1.0196218627919997</v>
      </c>
      <c r="H383" s="116">
        <v>1.0196218627919997</v>
      </c>
      <c r="I383" s="116">
        <v>1.0337000000000001</v>
      </c>
      <c r="J383" s="10"/>
    </row>
    <row r="384" spans="2:10" ht="15" x14ac:dyDescent="0.25">
      <c r="B384" s="117">
        <v>46082</v>
      </c>
      <c r="C384" s="117">
        <v>46113</v>
      </c>
      <c r="D384" s="116">
        <f t="shared" si="5"/>
        <v>1.0151551799999998</v>
      </c>
      <c r="E384" s="118"/>
      <c r="F384" s="116">
        <v>1.0050835898076973</v>
      </c>
      <c r="G384" s="116">
        <v>1.0151551799999998</v>
      </c>
      <c r="H384" s="116">
        <v>1.0151551799999998</v>
      </c>
      <c r="I384" s="116">
        <v>1.0216000000000001</v>
      </c>
      <c r="J384" s="10"/>
    </row>
    <row r="385" spans="2:10" ht="15" x14ac:dyDescent="0.25">
      <c r="B385" s="117">
        <v>46113</v>
      </c>
      <c r="C385" s="117">
        <v>46143</v>
      </c>
      <c r="D385" s="116">
        <f t="shared" si="5"/>
        <v>1.0062</v>
      </c>
      <c r="E385" s="118"/>
      <c r="F385" s="116">
        <v>1.0033988830830025</v>
      </c>
      <c r="G385" s="116">
        <v>1.0062</v>
      </c>
      <c r="H385" s="116">
        <v>1.0062</v>
      </c>
      <c r="I385" s="116">
        <v>1.0106999999999999</v>
      </c>
      <c r="J385" s="10"/>
    </row>
    <row r="386" spans="2:10" ht="15" x14ac:dyDescent="0.25">
      <c r="B386" s="117">
        <v>46143</v>
      </c>
      <c r="C386" s="117">
        <v>46174</v>
      </c>
      <c r="D386" s="116">
        <f t="shared" si="5"/>
        <v>1</v>
      </c>
      <c r="E386" s="118"/>
      <c r="F386" s="116">
        <v>1.0017090000000006</v>
      </c>
      <c r="G386" s="116">
        <v>1</v>
      </c>
      <c r="H386" s="116">
        <v>1</v>
      </c>
      <c r="I386" s="116">
        <v>1</v>
      </c>
      <c r="J386" s="10"/>
    </row>
    <row r="387" spans="2:10" x14ac:dyDescent="0.2">
      <c r="B387" s="11"/>
      <c r="C387" s="11"/>
      <c r="D387" s="10"/>
      <c r="E387" s="10"/>
      <c r="F387" s="10"/>
      <c r="G387" s="10"/>
      <c r="H387" s="10"/>
      <c r="I387" s="10"/>
      <c r="J387" s="10"/>
    </row>
    <row r="388" spans="2:10" x14ac:dyDescent="0.2">
      <c r="C388" s="64"/>
      <c r="D388" s="10"/>
      <c r="E388" s="10"/>
      <c r="F388" s="10"/>
      <c r="G388" s="10"/>
      <c r="H388" s="10"/>
      <c r="I388" s="10"/>
      <c r="J388" s="10"/>
    </row>
    <row r="389" spans="2:10" x14ac:dyDescent="0.2">
      <c r="B389" s="165" t="s">
        <v>82</v>
      </c>
      <c r="C389" s="64"/>
      <c r="D389" s="10"/>
      <c r="E389" s="10"/>
      <c r="F389" s="10"/>
      <c r="G389" s="10"/>
      <c r="H389" s="10"/>
      <c r="I389" s="10"/>
      <c r="J389" s="10"/>
    </row>
    <row r="390" spans="2:10" x14ac:dyDescent="0.2">
      <c r="B390" s="10"/>
      <c r="C390" s="64"/>
      <c r="D390" s="10"/>
      <c r="E390" s="10"/>
      <c r="F390" s="10"/>
      <c r="G390" s="10"/>
      <c r="H390" s="10"/>
      <c r="I390" s="10"/>
      <c r="J390" s="10"/>
    </row>
    <row r="391" spans="2:10" x14ac:dyDescent="0.2">
      <c r="B391" s="10"/>
      <c r="C391" s="64"/>
      <c r="D391" s="10"/>
      <c r="E391" s="10"/>
      <c r="F391" s="10"/>
      <c r="G391" s="10"/>
      <c r="H391" s="10"/>
      <c r="I391" s="10"/>
      <c r="J391" s="10"/>
    </row>
    <row r="392" spans="2:10" x14ac:dyDescent="0.2">
      <c r="B392" s="10"/>
      <c r="C392" s="64"/>
      <c r="D392" s="10"/>
      <c r="E392" s="10"/>
      <c r="F392" s="10"/>
      <c r="G392" s="10"/>
      <c r="H392" s="10"/>
      <c r="I392" s="10"/>
      <c r="J392" s="10"/>
    </row>
    <row r="393" spans="2:10" x14ac:dyDescent="0.2">
      <c r="B393" s="10"/>
      <c r="C393" s="64"/>
      <c r="D393" s="10"/>
      <c r="E393" s="10"/>
      <c r="F393" s="10"/>
      <c r="G393" s="10"/>
      <c r="H393" s="10"/>
      <c r="I393" s="10"/>
      <c r="J393" s="10"/>
    </row>
    <row r="394" spans="2:10" x14ac:dyDescent="0.2">
      <c r="B394" s="10"/>
      <c r="C394" s="64"/>
      <c r="D394" s="10"/>
      <c r="E394" s="10"/>
      <c r="F394" s="10"/>
      <c r="G394" s="10"/>
      <c r="H394" s="10"/>
      <c r="I394" s="10"/>
      <c r="J394" s="10"/>
    </row>
    <row r="395" spans="2:10" x14ac:dyDescent="0.2">
      <c r="B395" s="10"/>
      <c r="C395" s="64"/>
      <c r="D395" s="10"/>
      <c r="E395" s="10"/>
      <c r="F395" s="10"/>
      <c r="G395" s="10"/>
      <c r="H395" s="10"/>
      <c r="I395" s="10"/>
      <c r="J395" s="10"/>
    </row>
    <row r="396" spans="2:10" x14ac:dyDescent="0.2">
      <c r="B396" s="10"/>
      <c r="C396" s="64"/>
      <c r="D396" s="10"/>
      <c r="E396" s="10"/>
      <c r="F396" s="10"/>
      <c r="G396" s="10"/>
      <c r="H396" s="10"/>
      <c r="I396" s="10"/>
      <c r="J396" s="10"/>
    </row>
    <row r="397" spans="2:10" x14ac:dyDescent="0.2">
      <c r="B397" s="10"/>
      <c r="C397" s="64"/>
      <c r="D397" s="10"/>
      <c r="E397" s="10"/>
      <c r="F397" s="10"/>
      <c r="G397" s="10"/>
      <c r="H397" s="10"/>
      <c r="I397" s="10"/>
      <c r="J397" s="10"/>
    </row>
    <row r="398" spans="2:10" x14ac:dyDescent="0.2">
      <c r="B398" s="10"/>
      <c r="C398" s="64"/>
      <c r="D398" s="10"/>
      <c r="E398" s="10"/>
      <c r="F398" s="10"/>
      <c r="G398" s="10"/>
      <c r="H398" s="10"/>
      <c r="I398" s="10"/>
      <c r="J398" s="10"/>
    </row>
    <row r="399" spans="2:10" x14ac:dyDescent="0.2">
      <c r="B399" s="10"/>
      <c r="C399" s="64"/>
      <c r="D399" s="10"/>
      <c r="E399" s="10"/>
      <c r="F399" s="10"/>
      <c r="G399" s="10"/>
      <c r="H399" s="10"/>
      <c r="I399" s="10"/>
      <c r="J399" s="10"/>
    </row>
    <row r="400" spans="2:10" x14ac:dyDescent="0.2">
      <c r="B400" s="10"/>
      <c r="C400" s="64"/>
      <c r="D400" s="10"/>
      <c r="E400" s="10"/>
      <c r="F400" s="10"/>
      <c r="G400" s="10"/>
      <c r="H400" s="10"/>
      <c r="I400" s="10"/>
      <c r="J400" s="10"/>
    </row>
    <row r="401" spans="2:10" x14ac:dyDescent="0.2">
      <c r="B401" s="10"/>
      <c r="C401" s="64"/>
      <c r="D401" s="10"/>
      <c r="E401" s="10"/>
      <c r="F401" s="10"/>
      <c r="G401" s="10"/>
      <c r="H401" s="10"/>
      <c r="I401" s="10"/>
      <c r="J401" s="10"/>
    </row>
    <row r="402" spans="2:10" x14ac:dyDescent="0.2">
      <c r="B402" s="10"/>
      <c r="C402" s="64"/>
      <c r="D402" s="10"/>
      <c r="E402" s="10"/>
      <c r="F402" s="10"/>
      <c r="G402" s="10"/>
      <c r="H402" s="10"/>
      <c r="I402" s="10"/>
      <c r="J402" s="10"/>
    </row>
    <row r="403" spans="2:10" x14ac:dyDescent="0.2">
      <c r="B403" s="10"/>
      <c r="C403" s="64"/>
      <c r="D403" s="10"/>
      <c r="E403" s="10"/>
      <c r="F403" s="10"/>
      <c r="G403" s="10"/>
      <c r="H403" s="10"/>
      <c r="I403" s="10"/>
      <c r="J403" s="10"/>
    </row>
    <row r="404" spans="2:10" x14ac:dyDescent="0.2">
      <c r="B404" s="10"/>
      <c r="C404" s="64"/>
      <c r="D404" s="10"/>
      <c r="E404" s="10"/>
      <c r="F404" s="10"/>
      <c r="G404" s="10"/>
      <c r="H404" s="10"/>
      <c r="I404" s="10"/>
      <c r="J404" s="10"/>
    </row>
    <row r="405" spans="2:10" x14ac:dyDescent="0.2">
      <c r="B405" s="10"/>
      <c r="C405" s="64"/>
      <c r="D405" s="10"/>
      <c r="E405" s="10"/>
      <c r="F405" s="10"/>
      <c r="G405" s="10"/>
      <c r="H405" s="10"/>
      <c r="I405" s="10"/>
      <c r="J405" s="10"/>
    </row>
    <row r="406" spans="2:10" x14ac:dyDescent="0.2">
      <c r="B406" s="10"/>
      <c r="C406" s="64"/>
      <c r="D406" s="10"/>
      <c r="E406" s="10"/>
      <c r="F406" s="10"/>
      <c r="G406" s="10"/>
      <c r="H406" s="10"/>
      <c r="I406" s="10"/>
      <c r="J406" s="10"/>
    </row>
    <row r="407" spans="2:10" x14ac:dyDescent="0.2">
      <c r="B407" s="10"/>
      <c r="C407" s="64"/>
      <c r="D407" s="10"/>
      <c r="E407" s="10"/>
      <c r="F407" s="10"/>
      <c r="G407" s="10"/>
      <c r="H407" s="10"/>
      <c r="I407" s="10"/>
      <c r="J407" s="10"/>
    </row>
    <row r="408" spans="2:10" x14ac:dyDescent="0.2">
      <c r="B408" s="10"/>
      <c r="C408" s="64"/>
      <c r="D408" s="10"/>
      <c r="E408" s="10"/>
      <c r="F408" s="10"/>
      <c r="G408" s="10"/>
      <c r="H408" s="10"/>
      <c r="I408" s="10"/>
      <c r="J408" s="10"/>
    </row>
    <row r="409" spans="2:10" x14ac:dyDescent="0.2">
      <c r="B409" s="10"/>
      <c r="C409" s="64"/>
      <c r="D409" s="10"/>
      <c r="E409" s="10"/>
      <c r="F409" s="10"/>
      <c r="G409" s="10"/>
      <c r="H409" s="10"/>
      <c r="I409" s="10"/>
      <c r="J409" s="10"/>
    </row>
    <row r="410" spans="2:10" x14ac:dyDescent="0.2">
      <c r="B410" s="10"/>
      <c r="C410" s="64"/>
      <c r="D410" s="10"/>
      <c r="E410" s="10"/>
      <c r="F410" s="10"/>
      <c r="G410" s="10"/>
      <c r="H410" s="10"/>
      <c r="I410" s="10"/>
      <c r="J410" s="10"/>
    </row>
    <row r="411" spans="2:10" x14ac:dyDescent="0.2">
      <c r="B411" s="10"/>
      <c r="C411" s="64"/>
      <c r="D411" s="10"/>
      <c r="E411" s="10"/>
      <c r="F411" s="10"/>
      <c r="G411" s="10"/>
      <c r="H411" s="10"/>
      <c r="I411" s="10"/>
      <c r="J411" s="10"/>
    </row>
    <row r="412" spans="2:10" x14ac:dyDescent="0.2">
      <c r="B412" s="10"/>
      <c r="C412" s="64"/>
      <c r="D412" s="10"/>
      <c r="E412" s="10"/>
      <c r="F412" s="10"/>
      <c r="G412" s="10"/>
      <c r="H412" s="10"/>
      <c r="I412" s="10"/>
      <c r="J412" s="10"/>
    </row>
    <row r="413" spans="2:10" x14ac:dyDescent="0.2">
      <c r="B413" s="10"/>
      <c r="C413" s="64"/>
      <c r="D413" s="10"/>
      <c r="E413" s="10"/>
      <c r="F413" s="10"/>
      <c r="G413" s="10"/>
      <c r="H413" s="10"/>
      <c r="I413" s="10"/>
      <c r="J413" s="10"/>
    </row>
    <row r="414" spans="2:10" x14ac:dyDescent="0.2">
      <c r="B414" s="10"/>
      <c r="C414" s="64"/>
      <c r="D414" s="10"/>
      <c r="E414" s="10"/>
      <c r="F414" s="10"/>
      <c r="G414" s="10"/>
      <c r="H414" s="10"/>
      <c r="I414" s="10"/>
      <c r="J414" s="10"/>
    </row>
    <row r="415" spans="2:10" x14ac:dyDescent="0.2">
      <c r="B415" s="10"/>
      <c r="C415" s="64"/>
      <c r="D415" s="10"/>
      <c r="E415" s="10"/>
      <c r="F415" s="10"/>
      <c r="G415" s="10"/>
      <c r="H415" s="10"/>
      <c r="I415" s="10"/>
      <c r="J415" s="10"/>
    </row>
    <row r="416" spans="2:10" x14ac:dyDescent="0.2">
      <c r="B416" s="10"/>
      <c r="C416" s="64"/>
      <c r="D416" s="10"/>
      <c r="E416" s="10"/>
      <c r="F416" s="10"/>
      <c r="G416" s="10"/>
      <c r="H416" s="10"/>
      <c r="I416" s="10"/>
      <c r="J416" s="10"/>
    </row>
    <row r="417" spans="2:10" x14ac:dyDescent="0.2">
      <c r="B417" s="10"/>
      <c r="C417" s="64"/>
      <c r="D417" s="10"/>
      <c r="E417" s="10"/>
      <c r="F417" s="10"/>
      <c r="G417" s="10"/>
      <c r="H417" s="10"/>
      <c r="I417" s="10"/>
      <c r="J417" s="10"/>
    </row>
    <row r="418" spans="2:10" x14ac:dyDescent="0.2">
      <c r="B418" s="10"/>
      <c r="C418" s="64"/>
      <c r="D418" s="10"/>
      <c r="E418" s="10"/>
      <c r="F418" s="10"/>
      <c r="G418" s="10"/>
      <c r="H418" s="10"/>
      <c r="I418" s="10"/>
      <c r="J418" s="10"/>
    </row>
    <row r="419" spans="2:10" x14ac:dyDescent="0.2">
      <c r="B419" s="10"/>
      <c r="C419" s="64"/>
      <c r="D419" s="10"/>
      <c r="E419" s="10"/>
      <c r="F419" s="10"/>
      <c r="G419" s="10"/>
      <c r="H419" s="10"/>
      <c r="I419" s="10"/>
      <c r="J419" s="10"/>
    </row>
    <row r="420" spans="2:10" x14ac:dyDescent="0.2">
      <c r="B420" s="10"/>
      <c r="C420" s="64"/>
      <c r="D420" s="10"/>
      <c r="E420" s="10"/>
      <c r="F420" s="10"/>
      <c r="G420" s="10"/>
      <c r="H420" s="10"/>
      <c r="I420" s="10"/>
      <c r="J420" s="10"/>
    </row>
    <row r="421" spans="2:10" x14ac:dyDescent="0.2">
      <c r="B421" s="10"/>
      <c r="C421" s="64"/>
      <c r="D421" s="10"/>
      <c r="E421" s="10"/>
      <c r="F421" s="10"/>
      <c r="G421" s="10"/>
      <c r="H421" s="10"/>
      <c r="I421" s="10"/>
      <c r="J421" s="10"/>
    </row>
    <row r="422" spans="2:10" x14ac:dyDescent="0.2">
      <c r="B422" s="10"/>
      <c r="C422" s="64"/>
      <c r="D422" s="10"/>
      <c r="E422" s="10"/>
      <c r="F422" s="10"/>
      <c r="G422" s="10"/>
      <c r="H422" s="10"/>
      <c r="I422" s="10"/>
      <c r="J422" s="10"/>
    </row>
    <row r="423" spans="2:10" x14ac:dyDescent="0.2">
      <c r="B423" s="10"/>
      <c r="C423" s="64"/>
      <c r="D423" s="10"/>
      <c r="E423" s="10"/>
      <c r="F423" s="10"/>
      <c r="G423" s="10"/>
      <c r="H423" s="10"/>
      <c r="I423" s="10"/>
      <c r="J423" s="10"/>
    </row>
    <row r="424" spans="2:10" x14ac:dyDescent="0.2">
      <c r="B424" s="10"/>
      <c r="C424" s="64"/>
      <c r="D424" s="10"/>
      <c r="E424" s="10"/>
      <c r="F424" s="10"/>
      <c r="G424" s="10"/>
      <c r="H424" s="10"/>
      <c r="I424" s="10"/>
      <c r="J424" s="10"/>
    </row>
    <row r="425" spans="2:10" x14ac:dyDescent="0.2">
      <c r="B425" s="10"/>
      <c r="C425" s="64"/>
      <c r="D425" s="10"/>
      <c r="E425" s="10"/>
      <c r="F425" s="10"/>
      <c r="G425" s="10"/>
      <c r="H425" s="10"/>
      <c r="I425" s="10"/>
      <c r="J425" s="10"/>
    </row>
    <row r="426" spans="2:10" x14ac:dyDescent="0.2">
      <c r="B426" s="10"/>
      <c r="C426" s="64"/>
      <c r="D426" s="10"/>
      <c r="E426" s="10"/>
      <c r="F426" s="10"/>
      <c r="G426" s="10"/>
      <c r="H426" s="10"/>
      <c r="I426" s="10"/>
      <c r="J426" s="10"/>
    </row>
    <row r="427" spans="2:10" x14ac:dyDescent="0.2">
      <c r="B427" s="10"/>
      <c r="C427" s="64"/>
      <c r="D427" s="10"/>
      <c r="E427" s="10"/>
      <c r="F427" s="10"/>
      <c r="G427" s="10"/>
      <c r="H427" s="10"/>
      <c r="I427" s="10"/>
      <c r="J427" s="10"/>
    </row>
    <row r="428" spans="2:10" x14ac:dyDescent="0.2">
      <c r="B428" s="10"/>
      <c r="C428" s="64"/>
      <c r="D428" s="10"/>
      <c r="E428" s="10"/>
      <c r="F428" s="10"/>
      <c r="G428" s="10"/>
      <c r="H428" s="10"/>
      <c r="I428" s="10"/>
      <c r="J428" s="10"/>
    </row>
    <row r="429" spans="2:10" x14ac:dyDescent="0.2">
      <c r="B429" s="10"/>
      <c r="C429" s="64"/>
      <c r="D429" s="10"/>
      <c r="E429" s="10"/>
      <c r="F429" s="10"/>
      <c r="G429" s="10"/>
      <c r="H429" s="10"/>
      <c r="I429" s="10"/>
      <c r="J429" s="10"/>
    </row>
    <row r="430" spans="2:10" x14ac:dyDescent="0.2">
      <c r="B430" s="10"/>
      <c r="C430" s="64"/>
      <c r="D430" s="10"/>
      <c r="E430" s="10"/>
      <c r="F430" s="10"/>
      <c r="G430" s="10"/>
      <c r="H430" s="10"/>
      <c r="I430" s="10"/>
      <c r="J430" s="10"/>
    </row>
    <row r="431" spans="2:10" x14ac:dyDescent="0.2">
      <c r="B431" s="10"/>
      <c r="C431" s="64"/>
      <c r="D431" s="10"/>
      <c r="E431" s="10"/>
      <c r="F431" s="10"/>
      <c r="G431" s="10"/>
      <c r="H431" s="10"/>
      <c r="I431" s="10"/>
      <c r="J431" s="10"/>
    </row>
    <row r="432" spans="2:10" x14ac:dyDescent="0.2">
      <c r="B432" s="10"/>
      <c r="C432" s="64"/>
      <c r="D432" s="10"/>
      <c r="E432" s="10"/>
      <c r="F432" s="10"/>
      <c r="G432" s="10"/>
      <c r="H432" s="10"/>
      <c r="I432" s="10"/>
      <c r="J432" s="10"/>
    </row>
    <row r="433" spans="2:10" x14ac:dyDescent="0.2">
      <c r="B433" s="10"/>
      <c r="C433" s="64"/>
      <c r="D433" s="10"/>
      <c r="E433" s="10"/>
      <c r="F433" s="10"/>
      <c r="G433" s="10"/>
      <c r="H433" s="10"/>
      <c r="I433" s="10"/>
      <c r="J433" s="10"/>
    </row>
    <row r="434" spans="2:10" x14ac:dyDescent="0.2">
      <c r="B434" s="10"/>
      <c r="C434" s="64"/>
      <c r="D434" s="10"/>
      <c r="E434" s="10"/>
      <c r="F434" s="10"/>
      <c r="G434" s="10"/>
      <c r="H434" s="10"/>
      <c r="I434" s="10"/>
      <c r="J434" s="10"/>
    </row>
    <row r="435" spans="2:10" x14ac:dyDescent="0.2">
      <c r="B435" s="10"/>
      <c r="C435" s="64"/>
      <c r="D435" s="10"/>
      <c r="E435" s="10"/>
      <c r="F435" s="10"/>
      <c r="G435" s="10"/>
      <c r="H435" s="10"/>
      <c r="I435" s="10"/>
      <c r="J435" s="10"/>
    </row>
    <row r="436" spans="2:10" x14ac:dyDescent="0.2">
      <c r="B436" s="10"/>
      <c r="C436" s="64"/>
      <c r="D436" s="10"/>
      <c r="E436" s="10"/>
      <c r="F436" s="10"/>
      <c r="G436" s="10"/>
      <c r="H436" s="10"/>
      <c r="I436" s="10"/>
      <c r="J436" s="10"/>
    </row>
    <row r="437" spans="2:10" x14ac:dyDescent="0.2">
      <c r="B437" s="10"/>
      <c r="C437" s="64"/>
      <c r="D437" s="10"/>
      <c r="E437" s="10"/>
      <c r="F437" s="10"/>
      <c r="G437" s="10"/>
      <c r="H437" s="10"/>
      <c r="I437" s="10"/>
      <c r="J437" s="10"/>
    </row>
    <row r="438" spans="2:10" x14ac:dyDescent="0.2">
      <c r="B438" s="10"/>
      <c r="C438" s="64"/>
      <c r="D438" s="10"/>
      <c r="E438" s="10"/>
      <c r="F438" s="10"/>
      <c r="G438" s="10"/>
      <c r="H438" s="10"/>
      <c r="I438" s="10"/>
      <c r="J438" s="10"/>
    </row>
    <row r="439" spans="2:10" x14ac:dyDescent="0.2">
      <c r="B439" s="10"/>
      <c r="C439" s="64"/>
      <c r="D439" s="10"/>
      <c r="E439" s="10"/>
      <c r="F439" s="10"/>
      <c r="G439" s="10"/>
      <c r="H439" s="10"/>
      <c r="I439" s="10"/>
      <c r="J439" s="10"/>
    </row>
    <row r="440" spans="2:10" x14ac:dyDescent="0.2">
      <c r="B440" s="10"/>
      <c r="C440" s="64"/>
      <c r="D440" s="10"/>
      <c r="E440" s="10"/>
      <c r="F440" s="10"/>
      <c r="G440" s="10"/>
      <c r="H440" s="10"/>
      <c r="I440" s="10"/>
      <c r="J440" s="10"/>
    </row>
    <row r="441" spans="2:10" x14ac:dyDescent="0.2">
      <c r="B441" s="10"/>
      <c r="C441" s="64"/>
      <c r="D441" s="10"/>
      <c r="E441" s="10"/>
      <c r="F441" s="10"/>
      <c r="G441" s="10"/>
      <c r="H441" s="10"/>
      <c r="I441" s="10"/>
      <c r="J441" s="10"/>
    </row>
    <row r="442" spans="2:10" x14ac:dyDescent="0.2">
      <c r="B442" s="10"/>
      <c r="C442" s="64"/>
      <c r="D442" s="10"/>
      <c r="E442" s="10"/>
      <c r="F442" s="10"/>
      <c r="G442" s="10"/>
      <c r="H442" s="10"/>
      <c r="I442" s="10"/>
      <c r="J442" s="10"/>
    </row>
    <row r="443" spans="2:10" x14ac:dyDescent="0.2">
      <c r="B443" s="10"/>
      <c r="C443" s="64"/>
      <c r="D443" s="10"/>
      <c r="E443" s="10"/>
      <c r="F443" s="10"/>
      <c r="G443" s="10"/>
      <c r="H443" s="10"/>
      <c r="I443" s="10"/>
      <c r="J443" s="10"/>
    </row>
    <row r="444" spans="2:10" x14ac:dyDescent="0.2">
      <c r="B444" s="10"/>
      <c r="C444" s="64"/>
      <c r="D444" s="10"/>
      <c r="E444" s="10"/>
      <c r="F444" s="10"/>
      <c r="G444" s="10"/>
      <c r="H444" s="10"/>
      <c r="I444" s="10"/>
      <c r="J444" s="10"/>
    </row>
    <row r="445" spans="2:10" x14ac:dyDescent="0.2">
      <c r="B445" s="10"/>
      <c r="C445" s="64"/>
      <c r="D445" s="10"/>
      <c r="E445" s="10"/>
      <c r="F445" s="10"/>
      <c r="G445" s="10"/>
      <c r="H445" s="10"/>
      <c r="I445" s="10"/>
      <c r="J445" s="10"/>
    </row>
    <row r="446" spans="2:10" x14ac:dyDescent="0.2">
      <c r="B446" s="10"/>
      <c r="C446" s="64"/>
      <c r="D446" s="10"/>
      <c r="E446" s="10"/>
      <c r="F446" s="10"/>
      <c r="G446" s="10"/>
      <c r="H446" s="10"/>
      <c r="I446" s="10"/>
      <c r="J446" s="10"/>
    </row>
    <row r="447" spans="2:10" x14ac:dyDescent="0.2">
      <c r="B447" s="10"/>
      <c r="C447" s="64"/>
      <c r="D447" s="10"/>
      <c r="E447" s="10"/>
      <c r="F447" s="10"/>
      <c r="G447" s="10"/>
      <c r="H447" s="10"/>
      <c r="I447" s="10"/>
      <c r="J447" s="10"/>
    </row>
    <row r="448" spans="2:10" x14ac:dyDescent="0.2">
      <c r="B448" s="10"/>
      <c r="C448" s="64"/>
      <c r="D448" s="10"/>
      <c r="E448" s="10"/>
      <c r="F448" s="10"/>
      <c r="G448" s="10"/>
      <c r="H448" s="10"/>
      <c r="I448" s="10"/>
      <c r="J448" s="10"/>
    </row>
    <row r="449" spans="2:10" x14ac:dyDescent="0.2">
      <c r="B449" s="10"/>
      <c r="C449" s="64"/>
      <c r="D449" s="10"/>
      <c r="E449" s="10"/>
      <c r="F449" s="10"/>
      <c r="G449" s="10"/>
      <c r="H449" s="10"/>
      <c r="I449" s="10"/>
      <c r="J449" s="10"/>
    </row>
    <row r="450" spans="2:10" x14ac:dyDescent="0.2">
      <c r="B450" s="10"/>
      <c r="C450" s="64"/>
      <c r="D450" s="10"/>
      <c r="E450" s="10"/>
      <c r="F450" s="10"/>
      <c r="G450" s="10"/>
      <c r="H450" s="10"/>
      <c r="I450" s="10"/>
      <c r="J450" s="10"/>
    </row>
    <row r="451" spans="2:10" x14ac:dyDescent="0.2">
      <c r="B451" s="10"/>
      <c r="C451" s="64"/>
      <c r="D451" s="10"/>
      <c r="E451" s="10"/>
      <c r="F451" s="10"/>
      <c r="G451" s="10"/>
      <c r="H451" s="10"/>
      <c r="I451" s="10"/>
      <c r="J451" s="10"/>
    </row>
    <row r="452" spans="2:10" x14ac:dyDescent="0.2">
      <c r="B452" s="10"/>
      <c r="C452" s="64"/>
      <c r="D452" s="10"/>
      <c r="E452" s="10"/>
      <c r="F452" s="10"/>
      <c r="G452" s="10"/>
      <c r="H452" s="10"/>
      <c r="I452" s="10"/>
      <c r="J452" s="10"/>
    </row>
    <row r="453" spans="2:10" x14ac:dyDescent="0.2">
      <c r="B453" s="10"/>
      <c r="C453" s="64"/>
      <c r="D453" s="10"/>
      <c r="E453" s="10"/>
      <c r="F453" s="10"/>
      <c r="G453" s="10"/>
      <c r="H453" s="10"/>
      <c r="I453" s="10"/>
      <c r="J453" s="10"/>
    </row>
    <row r="454" spans="2:10" x14ac:dyDescent="0.2">
      <c r="B454" s="10"/>
      <c r="C454" s="64"/>
      <c r="D454" s="10"/>
      <c r="E454" s="10"/>
      <c r="F454" s="10"/>
      <c r="G454" s="10"/>
      <c r="H454" s="10"/>
      <c r="I454" s="10"/>
      <c r="J454" s="10"/>
    </row>
    <row r="455" spans="2:10" x14ac:dyDescent="0.2">
      <c r="B455" s="10"/>
      <c r="C455" s="64"/>
      <c r="D455" s="10"/>
      <c r="E455" s="10"/>
      <c r="F455" s="10"/>
      <c r="G455" s="10"/>
      <c r="H455" s="10"/>
      <c r="I455" s="10"/>
      <c r="J455" s="10"/>
    </row>
    <row r="456" spans="2:10" x14ac:dyDescent="0.2">
      <c r="B456" s="10"/>
      <c r="C456" s="64"/>
      <c r="D456" s="10"/>
      <c r="E456" s="10"/>
      <c r="F456" s="10"/>
      <c r="G456" s="10"/>
      <c r="H456" s="10"/>
      <c r="I456" s="10"/>
      <c r="J456" s="10"/>
    </row>
    <row r="457" spans="2:10" x14ac:dyDescent="0.2">
      <c r="B457" s="10"/>
      <c r="C457" s="64"/>
      <c r="D457" s="10"/>
      <c r="E457" s="10"/>
      <c r="F457" s="10"/>
      <c r="G457" s="10"/>
      <c r="H457" s="10"/>
      <c r="I457" s="10"/>
      <c r="J457" s="10"/>
    </row>
    <row r="458" spans="2:10" x14ac:dyDescent="0.2">
      <c r="B458" s="10"/>
      <c r="C458" s="64"/>
      <c r="D458" s="10"/>
      <c r="E458" s="10"/>
      <c r="F458" s="10"/>
      <c r="G458" s="10"/>
      <c r="H458" s="10"/>
      <c r="I458" s="10"/>
      <c r="J458" s="10"/>
    </row>
    <row r="459" spans="2:10" x14ac:dyDescent="0.2">
      <c r="B459" s="10"/>
      <c r="C459" s="64"/>
      <c r="D459" s="10"/>
      <c r="E459" s="10"/>
      <c r="F459" s="10"/>
      <c r="G459" s="10"/>
      <c r="H459" s="10"/>
      <c r="I459" s="10"/>
      <c r="J459" s="10"/>
    </row>
    <row r="460" spans="2:10" x14ac:dyDescent="0.2">
      <c r="B460" s="10"/>
      <c r="C460" s="64"/>
      <c r="D460" s="10"/>
      <c r="E460" s="10"/>
      <c r="F460" s="10"/>
      <c r="G460" s="10"/>
      <c r="H460" s="10"/>
      <c r="I460" s="10"/>
      <c r="J460" s="10"/>
    </row>
    <row r="461" spans="2:10" x14ac:dyDescent="0.2">
      <c r="B461" s="10"/>
      <c r="C461" s="64"/>
      <c r="D461" s="10"/>
      <c r="E461" s="10"/>
      <c r="F461" s="10"/>
      <c r="G461" s="10"/>
      <c r="H461" s="10"/>
      <c r="I461" s="10"/>
      <c r="J461" s="10"/>
    </row>
    <row r="462" spans="2:10" x14ac:dyDescent="0.2">
      <c r="B462" s="10"/>
      <c r="C462" s="64"/>
      <c r="D462" s="10"/>
      <c r="E462" s="10"/>
      <c r="F462" s="10"/>
      <c r="G462" s="10"/>
      <c r="H462" s="10"/>
      <c r="I462" s="10"/>
      <c r="J462" s="10"/>
    </row>
    <row r="463" spans="2:10" x14ac:dyDescent="0.2">
      <c r="B463" s="10"/>
      <c r="C463" s="64"/>
      <c r="D463" s="10"/>
      <c r="E463" s="10"/>
      <c r="F463" s="10"/>
      <c r="G463" s="10"/>
      <c r="H463" s="10"/>
      <c r="I463" s="10"/>
      <c r="J463" s="10"/>
    </row>
    <row r="464" spans="2:10" x14ac:dyDescent="0.2">
      <c r="B464" s="10"/>
      <c r="C464" s="64"/>
      <c r="D464" s="10"/>
      <c r="E464" s="10"/>
      <c r="F464" s="10"/>
      <c r="G464" s="10"/>
      <c r="H464" s="10"/>
      <c r="I464" s="10"/>
      <c r="J464" s="10"/>
    </row>
    <row r="465" spans="2:10" x14ac:dyDescent="0.2">
      <c r="B465" s="10"/>
      <c r="C465" s="64"/>
      <c r="D465" s="10"/>
      <c r="E465" s="10"/>
      <c r="F465" s="10"/>
      <c r="G465" s="10"/>
      <c r="H465" s="10"/>
      <c r="I465" s="10"/>
      <c r="J465" s="10"/>
    </row>
    <row r="466" spans="2:10" x14ac:dyDescent="0.2">
      <c r="B466" s="10"/>
      <c r="C466" s="64"/>
      <c r="D466" s="10"/>
      <c r="E466" s="10"/>
      <c r="F466" s="10"/>
      <c r="G466" s="10"/>
      <c r="H466" s="10"/>
      <c r="I466" s="10"/>
      <c r="J466" s="10"/>
    </row>
    <row r="467" spans="2:10" x14ac:dyDescent="0.2">
      <c r="B467" s="10"/>
      <c r="C467" s="64"/>
      <c r="D467" s="10"/>
      <c r="E467" s="10"/>
      <c r="F467" s="10"/>
      <c r="G467" s="10"/>
      <c r="H467" s="10"/>
      <c r="I467" s="10"/>
      <c r="J467" s="10"/>
    </row>
    <row r="468" spans="2:10" x14ac:dyDescent="0.2">
      <c r="B468" s="10"/>
      <c r="C468" s="64"/>
      <c r="D468" s="10"/>
      <c r="E468" s="10"/>
      <c r="F468" s="10"/>
      <c r="G468" s="10"/>
      <c r="H468" s="10"/>
      <c r="I468" s="10"/>
      <c r="J468" s="10"/>
    </row>
    <row r="469" spans="2:10" x14ac:dyDescent="0.2">
      <c r="B469" s="10"/>
      <c r="C469" s="64"/>
      <c r="D469" s="10"/>
      <c r="E469" s="10"/>
      <c r="F469" s="10"/>
      <c r="G469" s="10"/>
      <c r="H469" s="10"/>
      <c r="I469" s="10"/>
      <c r="J469" s="10"/>
    </row>
    <row r="470" spans="2:10" x14ac:dyDescent="0.2">
      <c r="B470" s="10"/>
      <c r="C470" s="64"/>
      <c r="D470" s="10"/>
      <c r="E470" s="10"/>
      <c r="F470" s="10"/>
      <c r="G470" s="10"/>
      <c r="H470" s="10"/>
      <c r="I470" s="10"/>
      <c r="J470" s="10"/>
    </row>
    <row r="471" spans="2:10" x14ac:dyDescent="0.2">
      <c r="B471" s="10"/>
      <c r="C471" s="64"/>
      <c r="D471" s="10"/>
      <c r="E471" s="10"/>
      <c r="F471" s="10"/>
      <c r="G471" s="10"/>
      <c r="H471" s="10"/>
      <c r="I471" s="10"/>
      <c r="J471" s="10"/>
    </row>
    <row r="472" spans="2:10" x14ac:dyDescent="0.2">
      <c r="B472" s="10"/>
      <c r="C472" s="64"/>
      <c r="D472" s="10"/>
      <c r="E472" s="10"/>
      <c r="F472" s="10"/>
      <c r="G472" s="10"/>
      <c r="H472" s="10"/>
      <c r="I472" s="10"/>
      <c r="J472" s="10"/>
    </row>
    <row r="473" spans="2:10" x14ac:dyDescent="0.2">
      <c r="B473" s="10"/>
      <c r="C473" s="64"/>
      <c r="D473" s="10"/>
      <c r="E473" s="10"/>
      <c r="F473" s="10"/>
      <c r="G473" s="10"/>
      <c r="H473" s="10"/>
      <c r="I473" s="10"/>
      <c r="J473" s="10"/>
    </row>
    <row r="474" spans="2:10" x14ac:dyDescent="0.2">
      <c r="B474" s="10"/>
      <c r="C474" s="64"/>
      <c r="D474" s="10"/>
      <c r="E474" s="10"/>
      <c r="F474" s="10"/>
      <c r="G474" s="10"/>
      <c r="H474" s="10"/>
      <c r="I474" s="10"/>
      <c r="J474" s="10"/>
    </row>
    <row r="475" spans="2:10" x14ac:dyDescent="0.2">
      <c r="B475" s="10"/>
      <c r="C475" s="64"/>
      <c r="D475" s="10"/>
      <c r="E475" s="10"/>
      <c r="F475" s="10"/>
      <c r="G475" s="10"/>
      <c r="H475" s="10"/>
      <c r="I475" s="10"/>
      <c r="J475" s="10"/>
    </row>
    <row r="476" spans="2:10" x14ac:dyDescent="0.2">
      <c r="B476" s="10"/>
      <c r="C476" s="64"/>
      <c r="D476" s="10"/>
      <c r="E476" s="10"/>
      <c r="F476" s="10"/>
      <c r="G476" s="10"/>
      <c r="H476" s="10"/>
      <c r="I476" s="10"/>
      <c r="J476" s="10"/>
    </row>
  </sheetData>
  <sheetProtection sheet="1" objects="1" scenarios="1" formatCells="0" formatColumns="0" formatRows="0" sort="0" autoFilter="0"/>
  <hyperlinks>
    <hyperlink ref="B389" location="'Correção Monetária'!A1" tooltip="Voltar ao topo da tabela" display="↑ topo" xr:uid="{3798ABFA-9A9D-4266-9789-3608CDA14F4A}"/>
  </hyperlinks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34</vt:i4>
      </vt:variant>
    </vt:vector>
  </HeadingPairs>
  <TitlesOfParts>
    <vt:vector size="38" baseType="lpstr">
      <vt:lpstr>Dados</vt:lpstr>
      <vt:lpstr>Cálculo da Insalubridade</vt:lpstr>
      <vt:lpstr>Salário Mínimo</vt:lpstr>
      <vt:lpstr>Correção Monetária</vt:lpstr>
      <vt:lpstr>ad_insalubre</vt:lpstr>
      <vt:lpstr>admissão</vt:lpstr>
      <vt:lpstr>ajuiza</vt:lpstr>
      <vt:lpstr>'Cálculo da Insalubridade'!Area_de_impressao</vt:lpstr>
      <vt:lpstr>atualiza</vt:lpstr>
      <vt:lpstr>contratualidade</vt:lpstr>
      <vt:lpstr>dispensa</vt:lpstr>
      <vt:lpstr>exigível</vt:lpstr>
      <vt:lpstr>férias_ano1</vt:lpstr>
      <vt:lpstr>férias_ano2</vt:lpstr>
      <vt:lpstr>férias_ano3</vt:lpstr>
      <vt:lpstr>férias_ano4</vt:lpstr>
      <vt:lpstr>férias_ano5</vt:lpstr>
      <vt:lpstr>férias_ano6</vt:lpstr>
      <vt:lpstr>férias_ano7</vt:lpstr>
      <vt:lpstr>FGTS_perc</vt:lpstr>
      <vt:lpstr>fim</vt:lpstr>
      <vt:lpstr>índice_cm</vt:lpstr>
      <vt:lpstr>índice_tst</vt:lpstr>
      <vt:lpstr>início</vt:lpstr>
      <vt:lpstr>iniférias</vt:lpstr>
      <vt:lpstr>insalubre_pg</vt:lpstr>
      <vt:lpstr>mensal</vt:lpstr>
      <vt:lpstr>mm</vt:lpstr>
      <vt:lpstr>ms</vt:lpstr>
      <vt:lpstr>nomeVT</vt:lpstr>
      <vt:lpstr>pas</vt:lpstr>
      <vt:lpstr>prescrição</vt:lpstr>
      <vt:lpstr>processo</vt:lpstr>
      <vt:lpstr>reclamada</vt:lpstr>
      <vt:lpstr>reclamante</vt:lpstr>
      <vt:lpstr>salário_base</vt:lpstr>
      <vt:lpstr>tabela_minimo</vt:lpstr>
      <vt:lpstr>'Cálculo da Insalubridade'!Titulos_de_impressao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Gilberto Braga</dc:creator>
  <cp:lastModifiedBy>Gilberto Braga</cp:lastModifiedBy>
  <cp:lastPrinted>2026-06-08T00:37:53Z</cp:lastPrinted>
  <dcterms:created xsi:type="dcterms:W3CDTF">2021-12-15T12:53:55Z</dcterms:created>
  <dcterms:modified xsi:type="dcterms:W3CDTF">2026-06-08T00:55:34Z</dcterms:modified>
</cp:coreProperties>
</file>