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threadedComments/threadedComment1.xml" ContentType="application/vnd.ms-excel.threadedcomments+xml"/>
  <Override PartName="/xl/drawings/drawing3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EstaPastaDeTrabalho"/>
  <mc:AlternateContent xmlns:mc="http://schemas.openxmlformats.org/markup-compatibility/2006">
    <mc:Choice Requires="x15">
      <x15ac:absPath xmlns:x15ac="http://schemas.microsoft.com/office/spreadsheetml/2010/11/ac" url="https://d.docs.live.net/8bd918134c21c4fd/Documentos/Blog Caltrab/Restabelecendo as planilhas/Planilhas atualização 2024/"/>
    </mc:Choice>
  </mc:AlternateContent>
  <xr:revisionPtr revIDLastSave="6" documentId="14_{E3956D63-06EF-40FD-8727-E0D89A1427A5}" xr6:coauthVersionLast="47" xr6:coauthVersionMax="47" xr10:uidLastSave="{3E5F9619-78D4-4483-A197-6521E1D88B82}"/>
  <bookViews>
    <workbookView xWindow="28680" yWindow="-120" windowWidth="29040" windowHeight="15720" activeTab="1" xr2:uid="{00000000-000D-0000-FFFF-FFFF00000000}"/>
  </bookViews>
  <sheets>
    <sheet name="Parâmetros" sheetId="12" r:id="rId1"/>
    <sheet name="controle de ponto" sheetId="8" r:id="rId2"/>
    <sheet name="Feriados" sheetId="3" r:id="rId3"/>
  </sheets>
  <definedNames>
    <definedName name="_jornada">Parâmetros!$A$8:$C$15</definedName>
    <definedName name="ad_he">Parâmetros!$H$11</definedName>
    <definedName name="ad_intra">Parâmetros!$J$11</definedName>
    <definedName name="ad_not">Parâmetros!$I$11</definedName>
    <definedName name="ano_cp">Parâmetros!$F$8</definedName>
    <definedName name="dia_fp">Parâmetros!$F$7</definedName>
    <definedName name="dias_úteis">'controle de ponto'!$J$41</definedName>
    <definedName name="fer">Feriados!$D$6:$F$21</definedName>
    <definedName name="fim">'controle de ponto'!$V$113</definedName>
    <definedName name="Fimnot">Parâmetros!$C$19</definedName>
    <definedName name="início">'controle de ponto'!$V$112</definedName>
    <definedName name="Ininot">Parâmetros!$C$18</definedName>
    <definedName name="intra_t">'controle de ponto'!$Y$3</definedName>
    <definedName name="jor_contratual" localSheetId="1">'controle de ponto'!$V$7:$W$23</definedName>
    <definedName name="jor_folga">Parâmetros!$C$16</definedName>
    <definedName name="jorn_t">'controle de ponto'!$Y$4</definedName>
    <definedName name="lim_not">Parâmetros!$C$23</definedName>
    <definedName name="mes_cp">Parâmetros!$F$9</definedName>
    <definedName name="páscoa">Feriados!$C$2</definedName>
    <definedName name="quadro_horário" localSheetId="1">'controle de ponto'!$I$8:$L$38</definedName>
    <definedName name="repousos">'controle de ponto'!$K$41</definedName>
    <definedName name="sum_60">'controle de ponto'!$Y$5</definedName>
    <definedName name="tol_HE">'controle de ponto'!$T$46</definedName>
    <definedName name="trab_">'controle de ponto'!$Y$2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38" i="8" l="1"/>
  <c r="Q37" i="8"/>
  <c r="Q36" i="8"/>
  <c r="Q35" i="8"/>
  <c r="Q34" i="8"/>
  <c r="Q33" i="8"/>
  <c r="Q32" i="8"/>
  <c r="Q31" i="8"/>
  <c r="Q30" i="8"/>
  <c r="Q29" i="8"/>
  <c r="Q28" i="8"/>
  <c r="Q27" i="8"/>
  <c r="Q26" i="8"/>
  <c r="Q25" i="8"/>
  <c r="Q24" i="8"/>
  <c r="Q23" i="8"/>
  <c r="Q22" i="8"/>
  <c r="Q21" i="8"/>
  <c r="Q20" i="8"/>
  <c r="Q19" i="8"/>
  <c r="Q18" i="8"/>
  <c r="Q17" i="8"/>
  <c r="Q16" i="8"/>
  <c r="Q15" i="8"/>
  <c r="Q14" i="8"/>
  <c r="Q13" i="8"/>
  <c r="Q12" i="8"/>
  <c r="Q11" i="8"/>
  <c r="Q10" i="8"/>
  <c r="Q9" i="8"/>
  <c r="Q8" i="8"/>
  <c r="R11" i="8"/>
  <c r="R12" i="8"/>
  <c r="R13" i="8"/>
  <c r="R14" i="8"/>
  <c r="R15" i="8"/>
  <c r="R16" i="8"/>
  <c r="R17" i="8"/>
  <c r="R18" i="8"/>
  <c r="R19" i="8"/>
  <c r="R20" i="8"/>
  <c r="R21" i="8"/>
  <c r="R22" i="8"/>
  <c r="R23" i="8"/>
  <c r="R24" i="8"/>
  <c r="R25" i="8"/>
  <c r="R26" i="8"/>
  <c r="R27" i="8"/>
  <c r="R28" i="8"/>
  <c r="R29" i="8"/>
  <c r="R30" i="8"/>
  <c r="R31" i="8"/>
  <c r="R32" i="8"/>
  <c r="R33" i="8"/>
  <c r="R34" i="8"/>
  <c r="R35" i="8"/>
  <c r="R36" i="8"/>
  <c r="R37" i="8"/>
  <c r="R38" i="8"/>
  <c r="R8" i="8"/>
  <c r="L38" i="8" l="1"/>
  <c r="K38" i="8"/>
  <c r="J38" i="8"/>
  <c r="I38" i="8"/>
  <c r="L37" i="8"/>
  <c r="K37" i="8"/>
  <c r="J37" i="8"/>
  <c r="I37" i="8"/>
  <c r="L36" i="8"/>
  <c r="K36" i="8"/>
  <c r="J36" i="8"/>
  <c r="I36" i="8"/>
  <c r="L35" i="8"/>
  <c r="K35" i="8"/>
  <c r="J35" i="8"/>
  <c r="I35" i="8"/>
  <c r="L34" i="8"/>
  <c r="K34" i="8"/>
  <c r="J34" i="8"/>
  <c r="I34" i="8"/>
  <c r="L33" i="8"/>
  <c r="K33" i="8"/>
  <c r="J33" i="8"/>
  <c r="I33" i="8"/>
  <c r="L32" i="8"/>
  <c r="K32" i="8"/>
  <c r="J32" i="8"/>
  <c r="I32" i="8"/>
  <c r="L31" i="8"/>
  <c r="K31" i="8"/>
  <c r="J31" i="8"/>
  <c r="I31" i="8"/>
  <c r="L30" i="8"/>
  <c r="K30" i="8"/>
  <c r="J30" i="8"/>
  <c r="I30" i="8"/>
  <c r="L29" i="8"/>
  <c r="K29" i="8"/>
  <c r="J29" i="8"/>
  <c r="I29" i="8"/>
  <c r="L28" i="8"/>
  <c r="K28" i="8"/>
  <c r="J28" i="8"/>
  <c r="I28" i="8"/>
  <c r="L27" i="8"/>
  <c r="K27" i="8"/>
  <c r="J27" i="8"/>
  <c r="I27" i="8"/>
  <c r="L26" i="8"/>
  <c r="K26" i="8"/>
  <c r="J26" i="8"/>
  <c r="I26" i="8"/>
  <c r="L25" i="8"/>
  <c r="K25" i="8"/>
  <c r="J25" i="8"/>
  <c r="I25" i="8"/>
  <c r="L24" i="8"/>
  <c r="K24" i="8"/>
  <c r="J24" i="8"/>
  <c r="I24" i="8"/>
  <c r="L23" i="8"/>
  <c r="K23" i="8"/>
  <c r="J23" i="8"/>
  <c r="I23" i="8"/>
  <c r="L22" i="8"/>
  <c r="K22" i="8"/>
  <c r="J22" i="8"/>
  <c r="I22" i="8"/>
  <c r="L21" i="8"/>
  <c r="K21" i="8"/>
  <c r="J21" i="8"/>
  <c r="I21" i="8"/>
  <c r="L20" i="8"/>
  <c r="K20" i="8"/>
  <c r="J20" i="8"/>
  <c r="I20" i="8"/>
  <c r="L19" i="8"/>
  <c r="K19" i="8"/>
  <c r="J19" i="8"/>
  <c r="I19" i="8"/>
  <c r="L18" i="8"/>
  <c r="K18" i="8"/>
  <c r="J18" i="8"/>
  <c r="I18" i="8"/>
  <c r="L17" i="8"/>
  <c r="K17" i="8"/>
  <c r="J17" i="8"/>
  <c r="I17" i="8"/>
  <c r="L16" i="8"/>
  <c r="K16" i="8"/>
  <c r="J16" i="8"/>
  <c r="I16" i="8"/>
  <c r="L15" i="8"/>
  <c r="K15" i="8"/>
  <c r="J15" i="8"/>
  <c r="I15" i="8"/>
  <c r="L14" i="8"/>
  <c r="K14" i="8"/>
  <c r="J14" i="8"/>
  <c r="I14" i="8"/>
  <c r="L13" i="8"/>
  <c r="K13" i="8"/>
  <c r="J13" i="8"/>
  <c r="I13" i="8"/>
  <c r="L12" i="8"/>
  <c r="K12" i="8"/>
  <c r="J12" i="8"/>
  <c r="I12" i="8"/>
  <c r="L11" i="8"/>
  <c r="K11" i="8"/>
  <c r="J11" i="8"/>
  <c r="I11" i="8"/>
  <c r="L10" i="8"/>
  <c r="K10" i="8"/>
  <c r="J10" i="8"/>
  <c r="I10" i="8"/>
  <c r="L9" i="8"/>
  <c r="K9" i="8"/>
  <c r="J9" i="8"/>
  <c r="I9" i="8"/>
  <c r="L8" i="8"/>
  <c r="K8" i="8"/>
  <c r="J8" i="8"/>
  <c r="I8" i="8"/>
  <c r="F3" i="8" l="1"/>
  <c r="V113" i="8"/>
  <c r="K23" i="12"/>
  <c r="K24" i="12"/>
  <c r="K22" i="12"/>
  <c r="K21" i="12"/>
  <c r="K20" i="12"/>
  <c r="K19" i="12"/>
  <c r="K18" i="12"/>
  <c r="K17" i="12"/>
  <c r="K13" i="12"/>
  <c r="I11" i="12"/>
  <c r="J11" i="12"/>
  <c r="H11" i="12"/>
  <c r="V112" i="8"/>
  <c r="B2" i="3"/>
  <c r="F13" i="3" l="1"/>
  <c r="E13" i="3"/>
  <c r="D13" i="3"/>
  <c r="B8" i="8"/>
  <c r="K16" i="12"/>
  <c r="K47" i="8"/>
  <c r="M47" i="8" s="1"/>
  <c r="Z5" i="8"/>
  <c r="AC4" i="8"/>
  <c r="AB4" i="8"/>
  <c r="AA4" i="8"/>
  <c r="Z4" i="8"/>
  <c r="AC3" i="8"/>
  <c r="AB3" i="8"/>
  <c r="AA3" i="8"/>
  <c r="Z3" i="8"/>
  <c r="AA2" i="8"/>
  <c r="Z2" i="8"/>
  <c r="AC1" i="8"/>
  <c r="AB1" i="8"/>
  <c r="AA1" i="8"/>
  <c r="Z1" i="8"/>
  <c r="Y1" i="8"/>
  <c r="B41" i="8" l="1"/>
  <c r="B42" i="8"/>
  <c r="AH8" i="8"/>
  <c r="AA8" i="8"/>
  <c r="AB8" i="8" s="1"/>
  <c r="AD8" i="8" s="1"/>
  <c r="Y8" i="8"/>
  <c r="B9" i="8"/>
  <c r="AA9" i="8" l="1"/>
  <c r="AB9" i="8" s="1"/>
  <c r="AH9" i="8"/>
  <c r="AC8" i="8"/>
  <c r="AI8" i="8" s="1"/>
  <c r="AG8" i="8" s="1"/>
  <c r="B10" i="8"/>
  <c r="Y9" i="8"/>
  <c r="AA10" i="8" l="1"/>
  <c r="AB10" i="8" s="1"/>
  <c r="AH10" i="8"/>
  <c r="AJ8" i="8"/>
  <c r="N8" i="8" s="1"/>
  <c r="AD9" i="8"/>
  <c r="AC9" i="8"/>
  <c r="AI9" i="8" s="1"/>
  <c r="B11" i="8"/>
  <c r="Y10" i="8"/>
  <c r="AK8" i="8" l="1"/>
  <c r="O8" i="8" s="1"/>
  <c r="AH11" i="8"/>
  <c r="AA11" i="8"/>
  <c r="AB11" i="8" s="1"/>
  <c r="AD10" i="8"/>
  <c r="AC10" i="8"/>
  <c r="AI10" i="8" s="1"/>
  <c r="B12" i="8"/>
  <c r="Y11" i="8"/>
  <c r="AG9" i="8"/>
  <c r="Z8" i="8" l="1"/>
  <c r="T8" i="8" s="1"/>
  <c r="M8" i="8"/>
  <c r="AA12" i="8"/>
  <c r="AB12" i="8" s="1"/>
  <c r="AH12" i="8"/>
  <c r="AJ9" i="8"/>
  <c r="AK9" i="8" s="1"/>
  <c r="O9" i="8" s="1"/>
  <c r="AD11" i="8"/>
  <c r="B13" i="8"/>
  <c r="Y12" i="8"/>
  <c r="AG10" i="8"/>
  <c r="Z9" i="8" l="1"/>
  <c r="T9" i="8" s="1"/>
  <c r="N9" i="8"/>
  <c r="M9" i="8" s="1"/>
  <c r="AA13" i="8"/>
  <c r="AB13" i="8" s="1"/>
  <c r="AH13" i="8"/>
  <c r="AJ10" i="8"/>
  <c r="N10" i="8" s="1"/>
  <c r="AC12" i="8"/>
  <c r="AI12" i="8" s="1"/>
  <c r="AD12" i="8"/>
  <c r="B14" i="8"/>
  <c r="Y13" i="8"/>
  <c r="AC11" i="8"/>
  <c r="AI11" i="8" s="1"/>
  <c r="AG11" i="8" s="1"/>
  <c r="AJ11" i="8" s="1"/>
  <c r="E3" i="3"/>
  <c r="E21" i="3"/>
  <c r="D20" i="3"/>
  <c r="F20" i="3"/>
  <c r="E20" i="3"/>
  <c r="F21" i="3"/>
  <c r="D21" i="3"/>
  <c r="E2" i="3"/>
  <c r="Y6" i="3"/>
  <c r="AK10" i="8" l="1"/>
  <c r="AA14" i="8"/>
  <c r="AB14" i="8" s="1"/>
  <c r="AH14" i="8"/>
  <c r="AG12" i="8"/>
  <c r="AD13" i="8"/>
  <c r="B15" i="8"/>
  <c r="Y14" i="8"/>
  <c r="N11" i="8"/>
  <c r="AK11" i="8"/>
  <c r="O11" i="8" s="1"/>
  <c r="F14" i="3"/>
  <c r="F11" i="3"/>
  <c r="F9" i="3"/>
  <c r="F7" i="3"/>
  <c r="E10" i="3"/>
  <c r="E14" i="3"/>
  <c r="E11" i="3"/>
  <c r="E9" i="3"/>
  <c r="E7" i="3"/>
  <c r="E12" i="3"/>
  <c r="F12" i="3"/>
  <c r="F10" i="3"/>
  <c r="F8" i="3"/>
  <c r="E8" i="3"/>
  <c r="D9" i="3"/>
  <c r="G7" i="3"/>
  <c r="D14" i="3"/>
  <c r="D7" i="3"/>
  <c r="F18" i="3"/>
  <c r="E6" i="3"/>
  <c r="D11" i="3"/>
  <c r="G6" i="3"/>
  <c r="F6" i="3"/>
  <c r="F19" i="3"/>
  <c r="D6" i="3"/>
  <c r="D8" i="3"/>
  <c r="E18" i="3"/>
  <c r="D19" i="3"/>
  <c r="E19" i="3"/>
  <c r="C2" i="3"/>
  <c r="D10" i="3"/>
  <c r="D12" i="3"/>
  <c r="D18" i="3"/>
  <c r="M11" i="8" l="1"/>
  <c r="O10" i="8"/>
  <c r="M10" i="8" s="1"/>
  <c r="AH15" i="8"/>
  <c r="AA15" i="8"/>
  <c r="AB15" i="8" s="1"/>
  <c r="AJ12" i="8"/>
  <c r="AK12" i="8" s="1"/>
  <c r="O12" i="8" s="1"/>
  <c r="AC14" i="8"/>
  <c r="AI14" i="8" s="1"/>
  <c r="AD14" i="8"/>
  <c r="Z11" i="8"/>
  <c r="T11" i="8" s="1"/>
  <c r="B16" i="8"/>
  <c r="Y15" i="8"/>
  <c r="AC13" i="8"/>
  <c r="AI13" i="8" s="1"/>
  <c r="F16" i="3"/>
  <c r="F15" i="3"/>
  <c r="F17" i="3"/>
  <c r="E17" i="3"/>
  <c r="E16" i="3"/>
  <c r="E15" i="3"/>
  <c r="D15" i="3"/>
  <c r="D17" i="3"/>
  <c r="D16" i="3"/>
  <c r="Z12" i="8" l="1"/>
  <c r="T12" i="8" s="1"/>
  <c r="Z10" i="8"/>
  <c r="T10" i="8" s="1"/>
  <c r="AA16" i="8"/>
  <c r="AB16" i="8" s="1"/>
  <c r="AH16" i="8"/>
  <c r="N12" i="8"/>
  <c r="M12" i="8" s="1"/>
  <c r="C9" i="8"/>
  <c r="A9" i="8" s="1"/>
  <c r="P9" i="8" s="1"/>
  <c r="AG14" i="8"/>
  <c r="C15" i="8"/>
  <c r="A15" i="8" s="1"/>
  <c r="P15" i="8" s="1"/>
  <c r="C8" i="8"/>
  <c r="C11" i="8"/>
  <c r="A11" i="8" s="1"/>
  <c r="P11" i="8" s="1"/>
  <c r="AG13" i="8"/>
  <c r="AD15" i="8"/>
  <c r="C10" i="8"/>
  <c r="A10" i="8" s="1"/>
  <c r="P10" i="8" s="1"/>
  <c r="C12" i="8"/>
  <c r="A12" i="8" s="1"/>
  <c r="P12" i="8" s="1"/>
  <c r="C14" i="8"/>
  <c r="A14" i="8" s="1"/>
  <c r="P14" i="8" s="1"/>
  <c r="C16" i="8"/>
  <c r="A16" i="8" s="1"/>
  <c r="P16" i="8" s="1"/>
  <c r="B17" i="8"/>
  <c r="Y16" i="8"/>
  <c r="C13" i="8"/>
  <c r="A13" i="8" s="1"/>
  <c r="P13" i="8" s="1"/>
  <c r="AF10" i="8" l="1"/>
  <c r="AE10" i="8"/>
  <c r="AM10" i="8"/>
  <c r="AL10" i="8"/>
  <c r="R10" i="8" s="1"/>
  <c r="AA17" i="8"/>
  <c r="AB17" i="8" s="1"/>
  <c r="AH17" i="8"/>
  <c r="AJ13" i="8"/>
  <c r="AK13" i="8" s="1"/>
  <c r="AJ14" i="8"/>
  <c r="AK14" i="8" s="1"/>
  <c r="O14" i="8" s="1"/>
  <c r="AE9" i="8"/>
  <c r="AF13" i="8"/>
  <c r="AE13" i="8"/>
  <c r="AL13" i="8"/>
  <c r="AD16" i="8"/>
  <c r="AF16" i="8" s="1"/>
  <c r="AF14" i="8"/>
  <c r="AE14" i="8"/>
  <c r="A8" i="8"/>
  <c r="P8" i="8" s="1"/>
  <c r="AC15" i="8"/>
  <c r="AI15" i="8" s="1"/>
  <c r="C17" i="8"/>
  <c r="A17" i="8" s="1"/>
  <c r="P17" i="8" s="1"/>
  <c r="B18" i="8"/>
  <c r="Y17" i="8"/>
  <c r="AF15" i="8"/>
  <c r="AE15" i="8"/>
  <c r="AF11" i="8"/>
  <c r="AL11" i="8"/>
  <c r="AM11" i="8"/>
  <c r="AE11" i="8"/>
  <c r="AL12" i="8"/>
  <c r="AM12" i="8"/>
  <c r="AF12" i="8"/>
  <c r="AE12" i="8"/>
  <c r="S10" i="8" l="1"/>
  <c r="S11" i="8"/>
  <c r="AL14" i="8"/>
  <c r="S12" i="8"/>
  <c r="N13" i="8"/>
  <c r="AL9" i="8"/>
  <c r="R9" i="8" s="1"/>
  <c r="AM9" i="8"/>
  <c r="AA18" i="8"/>
  <c r="AB18" i="8" s="1"/>
  <c r="AD18" i="8" s="1"/>
  <c r="AH18" i="8"/>
  <c r="AF9" i="8"/>
  <c r="Z14" i="8"/>
  <c r="T14" i="8" s="1"/>
  <c r="O13" i="8"/>
  <c r="M13" i="8" s="1"/>
  <c r="AM13" i="8"/>
  <c r="S13" i="8" s="1"/>
  <c r="N14" i="8"/>
  <c r="M14" i="8" s="1"/>
  <c r="AM14" i="8"/>
  <c r="S14" i="8" s="1"/>
  <c r="AD17" i="8"/>
  <c r="AF17" i="8" s="1"/>
  <c r="AE8" i="8"/>
  <c r="AM8" i="8"/>
  <c r="AL8" i="8"/>
  <c r="AF8" i="8"/>
  <c r="AC16" i="8"/>
  <c r="AI16" i="8" s="1"/>
  <c r="AE16" i="8"/>
  <c r="AG15" i="8"/>
  <c r="C18" i="8"/>
  <c r="B19" i="8"/>
  <c r="Y18" i="8"/>
  <c r="S9" i="8" l="1"/>
  <c r="S8" i="8"/>
  <c r="AE17" i="8"/>
  <c r="AH19" i="8"/>
  <c r="AA19" i="8"/>
  <c r="AB19" i="8" s="1"/>
  <c r="AD19" i="8" s="1"/>
  <c r="AJ15" i="8"/>
  <c r="N15" i="8" s="1"/>
  <c r="Z13" i="8"/>
  <c r="T13" i="8" s="1"/>
  <c r="AC18" i="8"/>
  <c r="A18" i="8"/>
  <c r="P18" i="8" s="1"/>
  <c r="AG16" i="8"/>
  <c r="AC17" i="8"/>
  <c r="AI17" i="8" s="1"/>
  <c r="AG17" i="8" s="1"/>
  <c r="AJ17" i="8" s="1"/>
  <c r="C19" i="8"/>
  <c r="A19" i="8" s="1"/>
  <c r="P19" i="8" s="1"/>
  <c r="B20" i="8"/>
  <c r="Y19" i="8"/>
  <c r="AK15" i="8" l="1"/>
  <c r="AL15" i="8" s="1"/>
  <c r="AA20" i="8"/>
  <c r="AB20" i="8" s="1"/>
  <c r="AH20" i="8"/>
  <c r="AJ16" i="8"/>
  <c r="N16" i="8" s="1"/>
  <c r="O15" i="8"/>
  <c r="AM15" i="8"/>
  <c r="S15" i="8" s="1"/>
  <c r="AF19" i="8"/>
  <c r="AE19" i="8"/>
  <c r="B21" i="8"/>
  <c r="C20" i="8"/>
  <c r="A20" i="8" s="1"/>
  <c r="P20" i="8" s="1"/>
  <c r="Y20" i="8"/>
  <c r="AI18" i="8"/>
  <c r="N17" i="8"/>
  <c r="AK17" i="8"/>
  <c r="AL17" i="8" s="1"/>
  <c r="AC19" i="8"/>
  <c r="AF18" i="8"/>
  <c r="AE18" i="8"/>
  <c r="M15" i="8" l="1"/>
  <c r="AK16" i="8"/>
  <c r="AM16" i="8" s="1"/>
  <c r="S16" i="8" s="1"/>
  <c r="Z15" i="8"/>
  <c r="T15" i="8" s="1"/>
  <c r="AA21" i="8"/>
  <c r="AB21" i="8" s="1"/>
  <c r="AD21" i="8" s="1"/>
  <c r="AH21" i="8"/>
  <c r="O16" i="8"/>
  <c r="M16" i="8" s="1"/>
  <c r="AD20" i="8"/>
  <c r="AG18" i="8"/>
  <c r="AJ18" i="8" s="1"/>
  <c r="B22" i="8"/>
  <c r="Y21" i="8"/>
  <c r="C21" i="8"/>
  <c r="A21" i="8" s="1"/>
  <c r="P21" i="8" s="1"/>
  <c r="O17" i="8"/>
  <c r="M17" i="8" s="1"/>
  <c r="AM17" i="8"/>
  <c r="S17" i="8" s="1"/>
  <c r="AI19" i="8"/>
  <c r="AL16" i="8" l="1"/>
  <c r="AA22" i="8"/>
  <c r="AB22" i="8" s="1"/>
  <c r="AD22" i="8" s="1"/>
  <c r="AH22" i="8"/>
  <c r="AK18" i="8"/>
  <c r="O18" i="8" s="1"/>
  <c r="N18" i="8"/>
  <c r="Z16" i="8"/>
  <c r="T16" i="8" s="1"/>
  <c r="AE20" i="8"/>
  <c r="AC20" i="8"/>
  <c r="AF20" i="8"/>
  <c r="AF21" i="8"/>
  <c r="AE21" i="8"/>
  <c r="Z17" i="8"/>
  <c r="T17" i="8" s="1"/>
  <c r="AC21" i="8"/>
  <c r="B23" i="8"/>
  <c r="Y22" i="8"/>
  <c r="C22" i="8"/>
  <c r="A22" i="8" s="1"/>
  <c r="P22" i="8" s="1"/>
  <c r="AG19" i="8"/>
  <c r="M18" i="8" l="1"/>
  <c r="AL18" i="8"/>
  <c r="AH23" i="8"/>
  <c r="AA23" i="8"/>
  <c r="AB23" i="8" s="1"/>
  <c r="AD23" i="8" s="1"/>
  <c r="AM18" i="8"/>
  <c r="S18" i="8" s="1"/>
  <c r="AJ19" i="8"/>
  <c r="Z18" i="8"/>
  <c r="T18" i="8" s="1"/>
  <c r="AI20" i="8"/>
  <c r="AF22" i="8"/>
  <c r="AE22" i="8"/>
  <c r="AC22" i="8"/>
  <c r="AI21" i="8"/>
  <c r="B24" i="8"/>
  <c r="Y23" i="8"/>
  <c r="C23" i="8"/>
  <c r="A23" i="8" s="1"/>
  <c r="P23" i="8" s="1"/>
  <c r="AK19" i="8" l="1"/>
  <c r="N19" i="8"/>
  <c r="AM19" i="8"/>
  <c r="S19" i="8" s="1"/>
  <c r="AA24" i="8"/>
  <c r="AB24" i="8" s="1"/>
  <c r="AH24" i="8"/>
  <c r="AG20" i="8"/>
  <c r="AF23" i="8"/>
  <c r="AE23" i="8"/>
  <c r="AI22" i="8"/>
  <c r="AC23" i="8"/>
  <c r="B25" i="8"/>
  <c r="Y24" i="8"/>
  <c r="C24" i="8"/>
  <c r="A24" i="8" s="1"/>
  <c r="P24" i="8" s="1"/>
  <c r="AG21" i="8"/>
  <c r="AJ21" i="8" s="1"/>
  <c r="AL19" i="8" l="1"/>
  <c r="O19" i="8"/>
  <c r="M19" i="8" s="1"/>
  <c r="AA25" i="8"/>
  <c r="AB25" i="8" s="1"/>
  <c r="AH25" i="8"/>
  <c r="AJ20" i="8"/>
  <c r="AK20" i="8" s="1"/>
  <c r="AL20" i="8" s="1"/>
  <c r="N20" i="8"/>
  <c r="AK21" i="8"/>
  <c r="AM21" i="8" s="1"/>
  <c r="S21" i="8" s="1"/>
  <c r="N21" i="8"/>
  <c r="AD24" i="8"/>
  <c r="AE24" i="8" s="1"/>
  <c r="B26" i="8"/>
  <c r="Y25" i="8"/>
  <c r="C25" i="8"/>
  <c r="A25" i="8" s="1"/>
  <c r="P25" i="8" s="1"/>
  <c r="AG22" i="8"/>
  <c r="AJ22" i="8" s="1"/>
  <c r="AI23" i="8"/>
  <c r="Z19" i="8" l="1"/>
  <c r="T19" i="8" s="1"/>
  <c r="AA26" i="8"/>
  <c r="AB26" i="8" s="1"/>
  <c r="AH26" i="8"/>
  <c r="O20" i="8"/>
  <c r="M20" i="8" s="1"/>
  <c r="AM20" i="8"/>
  <c r="S20" i="8" s="1"/>
  <c r="AK22" i="8"/>
  <c r="O22" i="8" s="1"/>
  <c r="N22" i="8"/>
  <c r="AL21" i="8"/>
  <c r="O21" i="8"/>
  <c r="M21" i="8" s="1"/>
  <c r="AD25" i="8"/>
  <c r="AF25" i="8" s="1"/>
  <c r="B27" i="8"/>
  <c r="Y26" i="8"/>
  <c r="C26" i="8"/>
  <c r="A26" i="8" s="1"/>
  <c r="P26" i="8" s="1"/>
  <c r="AG23" i="8"/>
  <c r="AJ23" i="8" s="1"/>
  <c r="AF24" i="8"/>
  <c r="AC24" i="8"/>
  <c r="M22" i="8" l="1"/>
  <c r="AL22" i="8"/>
  <c r="AH27" i="8"/>
  <c r="AA27" i="8"/>
  <c r="AB27" i="8" s="1"/>
  <c r="AM22" i="8"/>
  <c r="S22" i="8" s="1"/>
  <c r="Z20" i="8"/>
  <c r="T20" i="8" s="1"/>
  <c r="AK23" i="8"/>
  <c r="O23" i="8" s="1"/>
  <c r="M23" i="8" s="1"/>
  <c r="N23" i="8"/>
  <c r="Z22" i="8"/>
  <c r="T22" i="8" s="1"/>
  <c r="Z21" i="8"/>
  <c r="T21" i="8" s="1"/>
  <c r="AD26" i="8"/>
  <c r="AF26" i="8" s="1"/>
  <c r="B28" i="8"/>
  <c r="Y27" i="8"/>
  <c r="C27" i="8"/>
  <c r="A27" i="8" s="1"/>
  <c r="P27" i="8" s="1"/>
  <c r="AI24" i="8"/>
  <c r="AC25" i="8"/>
  <c r="AE25" i="8"/>
  <c r="AL23" i="8" l="1"/>
  <c r="AA28" i="8"/>
  <c r="AB28" i="8" s="1"/>
  <c r="AH28" i="8"/>
  <c r="AM23" i="8"/>
  <c r="S23" i="8" s="1"/>
  <c r="Z23" i="8"/>
  <c r="T23" i="8" s="1"/>
  <c r="AC26" i="8"/>
  <c r="AI26" i="8" s="1"/>
  <c r="AG26" i="8" s="1"/>
  <c r="AJ26" i="8" s="1"/>
  <c r="AI25" i="8"/>
  <c r="AG24" i="8"/>
  <c r="AD27" i="8"/>
  <c r="AE27" i="8" s="1"/>
  <c r="B29" i="8"/>
  <c r="Y28" i="8"/>
  <c r="C28" i="8"/>
  <c r="A28" i="8" s="1"/>
  <c r="P28" i="8" s="1"/>
  <c r="AE26" i="8"/>
  <c r="AA29" i="8" l="1"/>
  <c r="AB29" i="8" s="1"/>
  <c r="AH29" i="8"/>
  <c r="AJ24" i="8"/>
  <c r="N26" i="8"/>
  <c r="AF27" i="8"/>
  <c r="AK26" i="8"/>
  <c r="AM26" i="8" s="1"/>
  <c r="S26" i="8" s="1"/>
  <c r="AD28" i="8"/>
  <c r="AF28" i="8" s="1"/>
  <c r="B30" i="8"/>
  <c r="Y29" i="8"/>
  <c r="C29" i="8"/>
  <c r="A29" i="8" s="1"/>
  <c r="P29" i="8" s="1"/>
  <c r="AG25" i="8"/>
  <c r="AJ25" i="8" s="1"/>
  <c r="AC27" i="8"/>
  <c r="AK24" i="8" l="1"/>
  <c r="O24" i="8" s="1"/>
  <c r="N24" i="8"/>
  <c r="AM24" i="8"/>
  <c r="S24" i="8" s="1"/>
  <c r="AA30" i="8"/>
  <c r="AB30" i="8" s="1"/>
  <c r="AH30" i="8"/>
  <c r="AL26" i="8"/>
  <c r="O26" i="8"/>
  <c r="M26" i="8" s="1"/>
  <c r="AK25" i="8"/>
  <c r="O25" i="8" s="1"/>
  <c r="M25" i="8" s="1"/>
  <c r="N25" i="8"/>
  <c r="AI27" i="8"/>
  <c r="AD29" i="8"/>
  <c r="AF29" i="8" s="1"/>
  <c r="C30" i="8"/>
  <c r="A30" i="8" s="1"/>
  <c r="P30" i="8" s="1"/>
  <c r="B31" i="8"/>
  <c r="Y30" i="8"/>
  <c r="AE28" i="8"/>
  <c r="AC28" i="8"/>
  <c r="P31" i="8" l="1"/>
  <c r="M24" i="8"/>
  <c r="AL24" i="8"/>
  <c r="Z24" i="8"/>
  <c r="T24" i="8" s="1"/>
  <c r="AL25" i="8"/>
  <c r="AH31" i="8"/>
  <c r="AA31" i="8"/>
  <c r="AB31" i="8" s="1"/>
  <c r="AM25" i="8"/>
  <c r="S25" i="8" s="1"/>
  <c r="Z26" i="8"/>
  <c r="T26" i="8" s="1"/>
  <c r="Z25" i="8"/>
  <c r="T25" i="8" s="1"/>
  <c r="AE29" i="8"/>
  <c r="AL31" i="8"/>
  <c r="C31" i="8"/>
  <c r="A31" i="8" s="1"/>
  <c r="B32" i="8"/>
  <c r="Y31" i="8"/>
  <c r="AD30" i="8"/>
  <c r="AF30" i="8" s="1"/>
  <c r="S30" i="8" s="1"/>
  <c r="O29" i="8"/>
  <c r="AC29" i="8"/>
  <c r="AI28" i="8"/>
  <c r="AG27" i="8"/>
  <c r="AJ27" i="8" s="1"/>
  <c r="AA32" i="8" l="1"/>
  <c r="AB32" i="8" s="1"/>
  <c r="AH32" i="8"/>
  <c r="AK27" i="8"/>
  <c r="O27" i="8" s="1"/>
  <c r="N27" i="8"/>
  <c r="AE31" i="8"/>
  <c r="AD31" i="8"/>
  <c r="AF31" i="8" s="1"/>
  <c r="S31" i="8" s="1"/>
  <c r="AC31" i="8"/>
  <c r="Z29" i="8"/>
  <c r="T29" i="8" s="1"/>
  <c r="C32" i="8"/>
  <c r="A32" i="8" s="1"/>
  <c r="P32" i="8" s="1"/>
  <c r="B33" i="8"/>
  <c r="Y32" i="8"/>
  <c r="O30" i="8"/>
  <c r="AE30" i="8"/>
  <c r="AG28" i="8"/>
  <c r="AJ28" i="8" s="1"/>
  <c r="AI29" i="8"/>
  <c r="N29" i="8"/>
  <c r="M29" i="8" s="1"/>
  <c r="AC30" i="8"/>
  <c r="M27" i="8" l="1"/>
  <c r="AL27" i="8"/>
  <c r="AM27" i="8"/>
  <c r="S27" i="8" s="1"/>
  <c r="AA33" i="8"/>
  <c r="AB33" i="8" s="1"/>
  <c r="AD33" i="8" s="1"/>
  <c r="AH33" i="8"/>
  <c r="AK28" i="8"/>
  <c r="O28" i="8" s="1"/>
  <c r="N28" i="8"/>
  <c r="Z27" i="8"/>
  <c r="T27" i="8" s="1"/>
  <c r="AD32" i="8"/>
  <c r="AE32" i="8" s="1"/>
  <c r="C33" i="8"/>
  <c r="A33" i="8" s="1"/>
  <c r="P33" i="8" s="1"/>
  <c r="B34" i="8"/>
  <c r="Y33" i="8"/>
  <c r="AG29" i="8"/>
  <c r="N30" i="8"/>
  <c r="M30" i="8" s="1"/>
  <c r="AI30" i="8"/>
  <c r="N31" i="8"/>
  <c r="AI31" i="8"/>
  <c r="AG31" i="8" s="1"/>
  <c r="AJ31" i="8" s="1"/>
  <c r="Z30" i="8"/>
  <c r="T30" i="8" s="1"/>
  <c r="O31" i="8"/>
  <c r="M31" i="8" s="1"/>
  <c r="M28" i="8" l="1"/>
  <c r="AL28" i="8"/>
  <c r="AM28" i="8"/>
  <c r="S28" i="8" s="1"/>
  <c r="AA34" i="8"/>
  <c r="AB34" i="8" s="1"/>
  <c r="AD34" i="8" s="1"/>
  <c r="AH34" i="8"/>
  <c r="AJ29" i="8"/>
  <c r="AK29" i="8" s="1"/>
  <c r="AM29" i="8" s="1"/>
  <c r="S29" i="8" s="1"/>
  <c r="Z28" i="8"/>
  <c r="T28" i="8" s="1"/>
  <c r="AF32" i="8"/>
  <c r="O33" i="8"/>
  <c r="AE33" i="8"/>
  <c r="AF33" i="8"/>
  <c r="S33" i="8" s="1"/>
  <c r="Z31" i="8"/>
  <c r="T31" i="8" s="1"/>
  <c r="AK31" i="8"/>
  <c r="AM31" i="8" s="1"/>
  <c r="C34" i="8"/>
  <c r="A34" i="8" s="1"/>
  <c r="P34" i="8" s="1"/>
  <c r="B35" i="8"/>
  <c r="Y34" i="8"/>
  <c r="AC33" i="8"/>
  <c r="AG30" i="8"/>
  <c r="AC32" i="8"/>
  <c r="AL29" i="8" l="1"/>
  <c r="AH35" i="8"/>
  <c r="AA35" i="8"/>
  <c r="AB35" i="8" s="1"/>
  <c r="AJ30" i="8"/>
  <c r="AK30" i="8" s="1"/>
  <c r="AM30" i="8" s="1"/>
  <c r="AF34" i="8"/>
  <c r="AE34" i="8"/>
  <c r="AI32" i="8"/>
  <c r="AI33" i="8"/>
  <c r="N33" i="8"/>
  <c r="M33" i="8" s="1"/>
  <c r="AC34" i="8"/>
  <c r="Z33" i="8"/>
  <c r="T33" i="8" s="1"/>
  <c r="C35" i="8"/>
  <c r="A35" i="8" s="1"/>
  <c r="P35" i="8" s="1"/>
  <c r="B36" i="8"/>
  <c r="Y35" i="8"/>
  <c r="AL30" i="8" l="1"/>
  <c r="AA36" i="8"/>
  <c r="AB36" i="8" s="1"/>
  <c r="AH36" i="8"/>
  <c r="AD35" i="8"/>
  <c r="AE35" i="8" s="1"/>
  <c r="AC35" i="8"/>
  <c r="C36" i="8"/>
  <c r="A36" i="8" s="1"/>
  <c r="P36" i="8" s="1"/>
  <c r="B37" i="8"/>
  <c r="Y36" i="8"/>
  <c r="AG33" i="8"/>
  <c r="AI34" i="8"/>
  <c r="AG32" i="8"/>
  <c r="AJ32" i="8" s="1"/>
  <c r="AA37" i="8" l="1"/>
  <c r="AB37" i="8" s="1"/>
  <c r="AH37" i="8"/>
  <c r="AJ33" i="8"/>
  <c r="AK33" i="8" s="1"/>
  <c r="AK32" i="8"/>
  <c r="O32" i="8" s="1"/>
  <c r="N32" i="8"/>
  <c r="AF35" i="8"/>
  <c r="AD36" i="8"/>
  <c r="O36" i="8" s="1"/>
  <c r="AI35" i="8"/>
  <c r="AG34" i="8"/>
  <c r="C37" i="8"/>
  <c r="A37" i="8" s="1"/>
  <c r="P37" i="8" s="1"/>
  <c r="B38" i="8"/>
  <c r="Y37" i="8"/>
  <c r="Z36" i="8" l="1"/>
  <c r="T36" i="8" s="1"/>
  <c r="M32" i="8"/>
  <c r="C42" i="8"/>
  <c r="A42" i="8" s="1"/>
  <c r="C41" i="8"/>
  <c r="A41" i="8" s="1"/>
  <c r="AL32" i="8"/>
  <c r="AL33" i="8"/>
  <c r="AM33" i="8"/>
  <c r="AA38" i="8"/>
  <c r="AB38" i="8" s="1"/>
  <c r="AH38" i="8"/>
  <c r="AJ34" i="8"/>
  <c r="AM32" i="8"/>
  <c r="S32" i="8" s="1"/>
  <c r="Z32" i="8"/>
  <c r="T32" i="8" s="1"/>
  <c r="AF36" i="8"/>
  <c r="S36" i="8" s="1"/>
  <c r="AE36" i="8"/>
  <c r="AC37" i="8"/>
  <c r="AI37" i="8" s="1"/>
  <c r="AD37" i="8"/>
  <c r="AC36" i="8"/>
  <c r="C38" i="8"/>
  <c r="D41" i="8" s="1"/>
  <c r="Y38" i="8"/>
  <c r="AG35" i="8"/>
  <c r="I42" i="8" a="1"/>
  <c r="D42" i="8" l="1" a="1"/>
  <c r="D42" i="8" s="1"/>
  <c r="AK34" i="8"/>
  <c r="N34" i="8"/>
  <c r="I42" i="8"/>
  <c r="AJ35" i="8"/>
  <c r="AF37" i="8"/>
  <c r="AE37" i="8"/>
  <c r="AI36" i="8"/>
  <c r="N36" i="8"/>
  <c r="M36" i="8" s="1"/>
  <c r="AC38" i="8"/>
  <c r="AD38" i="8"/>
  <c r="A38" i="8"/>
  <c r="P38" i="8" s="1"/>
  <c r="AG37" i="8"/>
  <c r="I41" i="8" a="1"/>
  <c r="K42" i="8" l="1"/>
  <c r="AM34" i="8"/>
  <c r="S34" i="8" s="1"/>
  <c r="O34" i="8"/>
  <c r="M34" i="8" s="1"/>
  <c r="AL34" i="8"/>
  <c r="AK35" i="8"/>
  <c r="AL35" i="8" s="1"/>
  <c r="N35" i="8"/>
  <c r="AJ37" i="8"/>
  <c r="AG36" i="8"/>
  <c r="I41" i="8"/>
  <c r="K41" i="8" s="1"/>
  <c r="AI38" i="8"/>
  <c r="AG38" i="8" s="1"/>
  <c r="AJ38" i="8" s="1"/>
  <c r="N38" i="8" s="1"/>
  <c r="AF38" i="8"/>
  <c r="AE38" i="8"/>
  <c r="Z34" i="8" l="1"/>
  <c r="T34" i="8" s="1"/>
  <c r="AK37" i="8"/>
  <c r="AL37" i="8" s="1"/>
  <c r="N37" i="8"/>
  <c r="N40" i="8" s="1"/>
  <c r="N41" i="8" s="1"/>
  <c r="AM35" i="8"/>
  <c r="S35" i="8" s="1"/>
  <c r="O35" i="8"/>
  <c r="M35" i="8" s="1"/>
  <c r="K15" i="12"/>
  <c r="AJ36" i="8"/>
  <c r="AK36" i="8" s="1"/>
  <c r="AM36" i="8" s="1"/>
  <c r="J41" i="8"/>
  <c r="AK38" i="8"/>
  <c r="O38" i="8" s="1"/>
  <c r="M38" i="8" l="1"/>
  <c r="Z38" i="8"/>
  <c r="T38" i="8" s="1"/>
  <c r="AM37" i="8"/>
  <c r="S37" i="8" s="1"/>
  <c r="O37" i="8"/>
  <c r="M37" i="8" s="1"/>
  <c r="N47" i="8"/>
  <c r="Z35" i="8"/>
  <c r="T35" i="8" s="1"/>
  <c r="N42" i="8"/>
  <c r="AL36" i="8"/>
  <c r="AM38" i="8"/>
  <c r="S38" i="8" s="1"/>
  <c r="AL38" i="8"/>
  <c r="R40" i="8" s="1"/>
  <c r="R41" i="8" l="1"/>
  <c r="R42" i="8" s="1"/>
  <c r="O47" i="8"/>
  <c r="S40" i="8"/>
  <c r="S41" i="8" s="1"/>
  <c r="S42" i="8" s="1"/>
  <c r="Q40" i="8"/>
  <c r="Q41" i="8" s="1"/>
  <c r="Z37" i="8"/>
  <c r="T37" i="8" s="1"/>
  <c r="T40" i="8" s="1"/>
  <c r="M40" i="8"/>
  <c r="M41" i="8" s="1"/>
  <c r="O40" i="8"/>
  <c r="O41" i="8" s="1"/>
  <c r="J42" i="8" a="1"/>
  <c r="P47" i="8" l="1"/>
  <c r="T41" i="8"/>
  <c r="Q47" i="8"/>
  <c r="R47" i="8"/>
  <c r="J42" i="8"/>
  <c r="K14" i="1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Gilberto Braga</author>
  </authors>
  <commentList>
    <comment ref="F7" authorId="0" shapeId="0" xr:uid="{53875AAC-2ED3-4E6A-B324-528FD818C8E9}">
      <text>
        <r>
          <rPr>
            <b/>
            <sz val="9"/>
            <color indexed="81"/>
            <rFont val="Segoe UI"/>
            <family val="2"/>
          </rPr>
          <t>Gilberto Braga:</t>
        </r>
        <r>
          <rPr>
            <sz val="9"/>
            <color indexed="81"/>
            <rFont val="Segoe UI"/>
            <family val="2"/>
          </rPr>
          <t xml:space="preserve">
Deixe essa célula vazia, se o fechamento do ponto for no último dia do mês.</t>
        </r>
      </text>
    </comment>
    <comment ref="F8" authorId="0" shapeId="0" xr:uid="{B22DC915-6C06-4C2C-B849-7862E35ECB1A}">
      <text>
        <r>
          <rPr>
            <b/>
            <sz val="9"/>
            <color indexed="81"/>
            <rFont val="Segoe UI"/>
            <family val="2"/>
          </rPr>
          <t>Gilberto Braga:</t>
        </r>
        <r>
          <rPr>
            <sz val="9"/>
            <color indexed="81"/>
            <rFont val="Segoe UI"/>
            <family val="2"/>
          </rPr>
          <t xml:space="preserve">
Selecione o ano.</t>
        </r>
      </text>
    </comment>
    <comment ref="F9" authorId="0" shapeId="0" xr:uid="{AC264684-1CCE-499D-AF10-3CF4F42DA74E}">
      <text>
        <r>
          <rPr>
            <b/>
            <sz val="9"/>
            <color indexed="81"/>
            <rFont val="Segoe UI"/>
            <family val="2"/>
          </rPr>
          <t>Gilberto Braga:</t>
        </r>
        <r>
          <rPr>
            <sz val="9"/>
            <color indexed="81"/>
            <rFont val="Segoe UI"/>
            <family val="2"/>
          </rPr>
          <t xml:space="preserve">
Selecione o mês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tc={3ECF4230-9918-47FD-9CF4-E6A70D444F28}</author>
    <author>Gilberto Braga</author>
  </authors>
  <commentList>
    <comment ref="E7" authorId="0" shapeId="0" xr:uid="{3ECF4230-9918-47FD-9CF4-E6A70D444F28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Digite a hora SEM dois-pontos: 800 = 08:00 | 1330 = 13:30 | 45 = 00:45. A conversão é feita por fórmula nas colunas agrupadas I:L (não é mais necessária a macro).</t>
      </text>
    </comment>
    <comment ref="T42" authorId="1" shapeId="0" xr:uid="{90FD1001-4CD9-4D99-AE16-2CC64858AB76}">
      <text>
        <r>
          <rPr>
            <b/>
            <sz val="9"/>
            <color indexed="81"/>
            <rFont val="Segoe UI"/>
            <family val="2"/>
          </rPr>
          <t>Gilberto Braga:</t>
        </r>
        <r>
          <rPr>
            <sz val="9"/>
            <color indexed="81"/>
            <rFont val="Segoe UI"/>
            <family val="2"/>
          </rPr>
          <t xml:space="preserve">
Após reforma trabalhista, não são devidos reflexos das h. intervalares no DSR.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<sst xmlns="http://schemas.openxmlformats.org/spreadsheetml/2006/main" count="165" uniqueCount="128">
  <si>
    <t xml:space="preserve">Data </t>
  </si>
  <si>
    <t>Dia Semana</t>
  </si>
  <si>
    <t>Folgas</t>
  </si>
  <si>
    <t>Horas Diurnas</t>
  </si>
  <si>
    <t>H. Not. s/ red.</t>
  </si>
  <si>
    <t>Hora Ficta</t>
  </si>
  <si>
    <t>H. Trab.</t>
  </si>
  <si>
    <t>H. Normais</t>
  </si>
  <si>
    <t>H. Extras</t>
  </si>
  <si>
    <t>HE 100%</t>
  </si>
  <si>
    <t>JORNADA CONTRATUAL</t>
  </si>
  <si>
    <t>Segunda-feira</t>
  </si>
  <si>
    <t>Terça-feira</t>
  </si>
  <si>
    <t>Quarta-feira</t>
  </si>
  <si>
    <t>Quinta-feira</t>
  </si>
  <si>
    <t>Sexta-feira</t>
  </si>
  <si>
    <t>Sábado</t>
  </si>
  <si>
    <t>HORÁRIO NOTURNO</t>
  </si>
  <si>
    <t>Início</t>
  </si>
  <si>
    <t>Término</t>
  </si>
  <si>
    <t>FECHAMENTO DO PONTO</t>
  </si>
  <si>
    <t>dom</t>
  </si>
  <si>
    <t>dias úteis</t>
  </si>
  <si>
    <t>repousos</t>
  </si>
  <si>
    <t>Total:</t>
  </si>
  <si>
    <t>Decimal:</t>
  </si>
  <si>
    <t>Data de início:</t>
  </si>
  <si>
    <t>Data final:</t>
  </si>
  <si>
    <t>Meses</t>
  </si>
  <si>
    <t>Anos</t>
  </si>
  <si>
    <t>Ano</t>
  </si>
  <si>
    <t>Páscoa</t>
  </si>
  <si>
    <t>Horário Noturno</t>
  </si>
  <si>
    <t>Início:</t>
  </si>
  <si>
    <t>Fim:</t>
  </si>
  <si>
    <t>Feriados Nacionais, Municipais e Estadual</t>
  </si>
  <si>
    <t>Feriados Nacionais</t>
  </si>
  <si>
    <t>x</t>
  </si>
  <si>
    <t>Ano Novo</t>
  </si>
  <si>
    <t>Tiradentes</t>
  </si>
  <si>
    <t>Dia do Trabalho</t>
  </si>
  <si>
    <t>Independência</t>
  </si>
  <si>
    <t>Padroeira do Brasil</t>
  </si>
  <si>
    <t>Finados</t>
  </si>
  <si>
    <t>Proclamação da República</t>
  </si>
  <si>
    <t>Natal</t>
  </si>
  <si>
    <t>Móveis</t>
  </si>
  <si>
    <t>Sexta-Feira Santa</t>
  </si>
  <si>
    <t>Corpus Christi</t>
  </si>
  <si>
    <t>Terça-Feira de Carnaval</t>
  </si>
  <si>
    <t>DIA</t>
  </si>
  <si>
    <t>MÊS</t>
  </si>
  <si>
    <t>Fixos</t>
  </si>
  <si>
    <t>Feriado 1</t>
  </si>
  <si>
    <t>Feriado 2</t>
  </si>
  <si>
    <t>Feriado 3</t>
  </si>
  <si>
    <t>Feriado 4</t>
  </si>
  <si>
    <t>Adicional Noturno</t>
  </si>
  <si>
    <t>Ausências Injustificadas</t>
  </si>
  <si>
    <t>Empregado :</t>
  </si>
  <si>
    <t>Unidade :</t>
  </si>
  <si>
    <t>Dia da Semana</t>
  </si>
  <si>
    <t>Limite</t>
  </si>
  <si>
    <t>Intervalo Intrajornada</t>
  </si>
  <si>
    <t>Pausa</t>
  </si>
  <si>
    <t>Fixação Intervalo</t>
  </si>
  <si>
    <t>Hora Diurna Antes</t>
  </si>
  <si>
    <t>Hora Diurna Depois</t>
  </si>
  <si>
    <t>Horas Trab. c/pror.</t>
  </si>
  <si>
    <t>He Total</t>
  </si>
  <si>
    <t>COM PRORROGAÇÃO</t>
  </si>
  <si>
    <t>DSR:</t>
  </si>
  <si>
    <t>Empregado:</t>
  </si>
  <si>
    <t>Salário</t>
  </si>
  <si>
    <t>Adicional:</t>
  </si>
  <si>
    <t>Base de Cálculo</t>
  </si>
  <si>
    <t>Divisor</t>
  </si>
  <si>
    <t xml:space="preserve">Salário-Hora </t>
  </si>
  <si>
    <t>Hora Extra 1</t>
  </si>
  <si>
    <t xml:space="preserve">Hora Extra 100% </t>
  </si>
  <si>
    <t>Limite 44h</t>
  </si>
  <si>
    <t>6 dias</t>
  </si>
  <si>
    <t>Limite 40h</t>
  </si>
  <si>
    <t>Limite 36h</t>
  </si>
  <si>
    <t>Limite 30h</t>
  </si>
  <si>
    <t>Limite 24h</t>
  </si>
  <si>
    <t>DIVISOR</t>
  </si>
  <si>
    <t>Quadro de Horários</t>
  </si>
  <si>
    <t>SEM PRORROGAÇÃO</t>
  </si>
  <si>
    <t>Domingo</t>
  </si>
  <si>
    <t>Término:</t>
  </si>
  <si>
    <t>Início até:</t>
  </si>
  <si>
    <t>TRABALHO URBANO OU RURAL</t>
  </si>
  <si>
    <t>Selecione o ano:</t>
  </si>
  <si>
    <t>Selecione o mês</t>
  </si>
  <si>
    <t>INTERVALO INTRAJORNADA</t>
  </si>
  <si>
    <t>HORA EXTRA</t>
  </si>
  <si>
    <t>ADIC. NOTURNO</t>
  </si>
  <si>
    <t>INTER. INTRA</t>
  </si>
  <si>
    <t>Hora Extra</t>
  </si>
  <si>
    <t>Adic. Noturno</t>
  </si>
  <si>
    <t>H. Intervalares</t>
  </si>
  <si>
    <t>Controle de Ponto</t>
  </si>
  <si>
    <t>Dias Úteis no Período</t>
  </si>
  <si>
    <t>Descanso Semanal Rem. - Dom / Feriados</t>
  </si>
  <si>
    <t>Fechamento do Ponto</t>
  </si>
  <si>
    <t>Aplicar tolerância no Intervalo?</t>
  </si>
  <si>
    <t>Aplicar tolerância na Jornada?</t>
  </si>
  <si>
    <t>PRORROGAÇÃO H. NOTURNO</t>
  </si>
  <si>
    <t>LIMITE PARA A PRORROGAÇÃO</t>
  </si>
  <si>
    <t>Trabalho Urbano, Rural ou Urbano sem red. Jornada?</t>
  </si>
  <si>
    <t>Prorrogação do horário noturno?</t>
  </si>
  <si>
    <t>Adicional Noturno:</t>
  </si>
  <si>
    <t>Horas Intervalares:</t>
  </si>
  <si>
    <t>Adicional de Horas Extras - Folgas e Feriados:</t>
  </si>
  <si>
    <t>Adicional de Horas Extras - dias úteis:</t>
  </si>
  <si>
    <t>Dia Fechamento:</t>
  </si>
  <si>
    <t>Mês / Ano:</t>
  </si>
  <si>
    <t>Feriado</t>
  </si>
  <si>
    <t>F</t>
  </si>
  <si>
    <t>Zumbi e Consciência Negra</t>
  </si>
  <si>
    <t>Ent 1</t>
  </si>
  <si>
    <t>Saída 1</t>
  </si>
  <si>
    <t xml:space="preserve">Ent 2 </t>
  </si>
  <si>
    <t>Saída 2</t>
  </si>
  <si>
    <t>A</t>
  </si>
  <si>
    <t>Tolerância H. Extras</t>
  </si>
  <si>
    <t>Limite diário: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</si>
</sst>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1" formatCode="_-* #,##0_-;\-* #,##0_-;_-* &quot;-&quot;_-;_-@_-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ddd"/>
    <numFmt numFmtId="165" formatCode="[hh]:mm"/>
    <numFmt numFmtId="166" formatCode="mmm\-yyyy"/>
    <numFmt numFmtId="167" formatCode="0\ &quot;dias&quot;"/>
    <numFmt numFmtId="168" formatCode="mmm/yyyy"/>
    <numFmt numFmtId="169" formatCode="mmmm/yyyy"/>
    <numFmt numFmtId="170" formatCode="[&lt;1][hh]:mm;00\:00"/>
    <numFmt numFmtId="171" formatCode="[hh]:mm;;"/>
    <numFmt numFmtId="172" formatCode="0&quot; min&quot;"/>
  </numFmts>
  <fonts count="2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theme="0"/>
      <name val="Arial"/>
      <family val="2"/>
    </font>
    <font>
      <sz val="10"/>
      <name val="Calibri"/>
      <family val="2"/>
    </font>
    <font>
      <sz val="1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Arial"/>
      <family val="2"/>
    </font>
    <font>
      <b/>
      <sz val="10"/>
      <name val="Calibri"/>
      <family val="2"/>
    </font>
    <font>
      <b/>
      <sz val="12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</font>
    <font>
      <b/>
      <i/>
      <sz val="11"/>
      <name val="Calibri"/>
      <family val="2"/>
      <scheme val="minor"/>
    </font>
    <font>
      <sz val="8"/>
      <color rgb="FF000000"/>
      <name val="Segoe UI"/>
      <family val="2"/>
    </font>
    <font>
      <sz val="12"/>
      <name val="Calibri"/>
      <family val="2"/>
      <scheme val="minor"/>
    </font>
    <font>
      <sz val="10"/>
      <color rgb="FF0000FF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D9D9D9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</borders>
  <cellStyleXfs count="6">
    <xf numFmtId="0" fontId="0" fillId="0" borderId="0"/>
    <xf numFmtId="0" fontId="7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14" borderId="0" applyNumberFormat="0" applyBorder="0" applyAlignment="0" applyProtection="0"/>
  </cellStyleXfs>
  <cellXfs count="331">
    <xf numFmtId="0" fontId="0" fillId="0" borderId="0" xfId="0"/>
    <xf numFmtId="0" fontId="0" fillId="0" borderId="0" xfId="0" applyAlignment="1">
      <alignment horizontal="left" indent="1"/>
    </xf>
    <xf numFmtId="0" fontId="0" fillId="0" borderId="0" xfId="0" applyAlignment="1">
      <alignment horizontal="center"/>
    </xf>
    <xf numFmtId="0" fontId="0" fillId="0" borderId="16" xfId="0" applyBorder="1" applyAlignment="1">
      <alignment horizontal="center"/>
    </xf>
    <xf numFmtId="0" fontId="2" fillId="5" borderId="2" xfId="2" applyBorder="1" applyAlignment="1">
      <alignment horizontal="left" indent="1"/>
    </xf>
    <xf numFmtId="0" fontId="2" fillId="6" borderId="1" xfId="3" applyBorder="1" applyAlignment="1">
      <alignment horizontal="left" indent="1"/>
    </xf>
    <xf numFmtId="0" fontId="2" fillId="6" borderId="2" xfId="3" applyBorder="1" applyAlignment="1">
      <alignment horizontal="left" indent="1"/>
    </xf>
    <xf numFmtId="0" fontId="9" fillId="7" borderId="1" xfId="4" applyFont="1" applyBorder="1" applyAlignment="1">
      <alignment horizontal="left" indent="1"/>
    </xf>
    <xf numFmtId="0" fontId="9" fillId="7" borderId="2" xfId="4" applyFont="1" applyBorder="1" applyAlignment="1">
      <alignment horizontal="left" indent="1"/>
    </xf>
    <xf numFmtId="14" fontId="9" fillId="7" borderId="2" xfId="4" applyNumberFormat="1" applyFont="1" applyBorder="1"/>
    <xf numFmtId="0" fontId="9" fillId="7" borderId="1" xfId="4" applyFont="1" applyBorder="1" applyAlignment="1">
      <alignment horizontal="center"/>
    </xf>
    <xf numFmtId="0" fontId="9" fillId="7" borderId="2" xfId="4" applyFont="1" applyBorder="1" applyAlignment="1">
      <alignment horizontal="center"/>
    </xf>
    <xf numFmtId="0" fontId="2" fillId="5" borderId="2" xfId="2" applyBorder="1" applyAlignment="1">
      <alignment horizontal="center"/>
    </xf>
    <xf numFmtId="0" fontId="2" fillId="6" borderId="2" xfId="3" applyBorder="1" applyAlignment="1">
      <alignment horizontal="center" vertical="center"/>
    </xf>
    <xf numFmtId="0" fontId="9" fillId="7" borderId="4" xfId="4" applyFont="1" applyBorder="1" applyAlignment="1">
      <alignment horizontal="center"/>
    </xf>
    <xf numFmtId="0" fontId="9" fillId="7" borderId="4" xfId="4" applyFont="1" applyBorder="1" applyAlignment="1">
      <alignment horizontal="left" indent="1"/>
    </xf>
    <xf numFmtId="14" fontId="9" fillId="7" borderId="4" xfId="4" applyNumberFormat="1" applyFont="1" applyBorder="1"/>
    <xf numFmtId="0" fontId="2" fillId="6" borderId="1" xfId="3" applyBorder="1" applyAlignment="1">
      <alignment horizontal="center"/>
    </xf>
    <xf numFmtId="0" fontId="2" fillId="6" borderId="4" xfId="3" applyBorder="1" applyAlignment="1">
      <alignment horizontal="center"/>
    </xf>
    <xf numFmtId="0" fontId="2" fillId="6" borderId="4" xfId="3" applyBorder="1" applyAlignment="1">
      <alignment horizontal="left" indent="1"/>
    </xf>
    <xf numFmtId="0" fontId="2" fillId="5" borderId="12" xfId="2" applyBorder="1" applyAlignment="1">
      <alignment horizontal="center"/>
    </xf>
    <xf numFmtId="0" fontId="2" fillId="5" borderId="12" xfId="2" applyBorder="1" applyAlignment="1">
      <alignment horizontal="left" indent="1"/>
    </xf>
    <xf numFmtId="0" fontId="2" fillId="5" borderId="8" xfId="2" applyBorder="1" applyAlignment="1">
      <alignment horizontal="center"/>
    </xf>
    <xf numFmtId="0" fontId="2" fillId="5" borderId="9" xfId="2" applyBorder="1" applyAlignment="1">
      <alignment horizontal="center"/>
    </xf>
    <xf numFmtId="0" fontId="2" fillId="5" borderId="4" xfId="2" applyBorder="1" applyAlignment="1">
      <alignment horizontal="left" indent="1"/>
    </xf>
    <xf numFmtId="0" fontId="2" fillId="5" borderId="10" xfId="2" applyBorder="1" applyAlignment="1">
      <alignment horizontal="center"/>
    </xf>
    <xf numFmtId="0" fontId="9" fillId="7" borderId="3" xfId="4" applyFont="1" applyBorder="1" applyAlignment="1">
      <alignment horizontal="center" vertical="center"/>
    </xf>
    <xf numFmtId="0" fontId="6" fillId="5" borderId="15" xfId="2" applyFont="1" applyBorder="1" applyAlignment="1">
      <alignment horizontal="centerContinuous"/>
    </xf>
    <xf numFmtId="0" fontId="6" fillId="5" borderId="14" xfId="2" applyFont="1" applyBorder="1"/>
    <xf numFmtId="0" fontId="10" fillId="0" borderId="0" xfId="0" applyFont="1"/>
    <xf numFmtId="14" fontId="10" fillId="0" borderId="0" xfId="0" applyNumberFormat="1" applyFont="1"/>
    <xf numFmtId="0" fontId="13" fillId="10" borderId="1" xfId="4" applyFont="1" applyFill="1" applyBorder="1" applyAlignment="1">
      <alignment horizontal="right" vertical="center" indent="1"/>
    </xf>
    <xf numFmtId="0" fontId="0" fillId="11" borderId="18" xfId="0" applyFill="1" applyBorder="1"/>
    <xf numFmtId="0" fontId="0" fillId="11" borderId="19" xfId="0" applyFill="1" applyBorder="1"/>
    <xf numFmtId="0" fontId="0" fillId="11" borderId="17" xfId="0" applyFill="1" applyBorder="1"/>
    <xf numFmtId="0" fontId="8" fillId="11" borderId="2" xfId="0" applyFont="1" applyFill="1" applyBorder="1" applyAlignment="1">
      <alignment horizontal="right" vertical="center" indent="1"/>
    </xf>
    <xf numFmtId="0" fontId="8" fillId="11" borderId="4" xfId="0" applyFont="1" applyFill="1" applyBorder="1" applyAlignment="1">
      <alignment horizontal="right" vertical="center" indent="1"/>
    </xf>
    <xf numFmtId="20" fontId="8" fillId="11" borderId="2" xfId="0" applyNumberFormat="1" applyFont="1" applyFill="1" applyBorder="1" applyAlignment="1">
      <alignment horizontal="right" vertical="center" indent="1"/>
    </xf>
    <xf numFmtId="20" fontId="8" fillId="11" borderId="4" xfId="0" applyNumberFormat="1" applyFont="1" applyFill="1" applyBorder="1" applyAlignment="1">
      <alignment horizontal="right" vertical="center" indent="1"/>
    </xf>
    <xf numFmtId="14" fontId="9" fillId="7" borderId="1" xfId="4" quotePrefix="1" applyNumberFormat="1" applyFont="1" applyBorder="1"/>
    <xf numFmtId="14" fontId="6" fillId="5" borderId="4" xfId="2" quotePrefix="1" applyNumberFormat="1" applyFont="1" applyBorder="1" applyAlignment="1">
      <alignment horizontal="right" indent="1"/>
    </xf>
    <xf numFmtId="14" fontId="1" fillId="6" borderId="1" xfId="3" quotePrefix="1" applyNumberFormat="1" applyFont="1" applyBorder="1"/>
    <xf numFmtId="14" fontId="1" fillId="6" borderId="2" xfId="3" quotePrefix="1" applyNumberFormat="1" applyFont="1" applyBorder="1"/>
    <xf numFmtId="14" fontId="1" fillId="6" borderId="4" xfId="3" quotePrefix="1" applyNumberFormat="1" applyFont="1" applyBorder="1"/>
    <xf numFmtId="14" fontId="1" fillId="5" borderId="12" xfId="2" quotePrefix="1" applyNumberFormat="1" applyFont="1" applyBorder="1"/>
    <xf numFmtId="14" fontId="1" fillId="5" borderId="2" xfId="2" quotePrefix="1" applyNumberFormat="1" applyFont="1" applyBorder="1"/>
    <xf numFmtId="14" fontId="1" fillId="5" borderId="14" xfId="2" quotePrefix="1" applyNumberFormat="1" applyFont="1" applyBorder="1"/>
    <xf numFmtId="0" fontId="0" fillId="0" borderId="0" xfId="0" applyAlignment="1">
      <alignment vertical="center"/>
    </xf>
    <xf numFmtId="0" fontId="9" fillId="7" borderId="7" xfId="4" applyFont="1" applyBorder="1" applyAlignment="1">
      <alignment horizontal="center" vertical="center"/>
    </xf>
    <xf numFmtId="14" fontId="9" fillId="7" borderId="2" xfId="4" quotePrefix="1" applyNumberFormat="1" applyFont="1" applyBorder="1"/>
    <xf numFmtId="14" fontId="9" fillId="7" borderId="4" xfId="4" quotePrefix="1" applyNumberFormat="1" applyFont="1" applyBorder="1"/>
    <xf numFmtId="14" fontId="1" fillId="5" borderId="10" xfId="2" quotePrefix="1" applyNumberFormat="1" applyFont="1" applyBorder="1"/>
    <xf numFmtId="14" fontId="10" fillId="0" borderId="0" xfId="0" applyNumberFormat="1" applyFont="1" applyAlignment="1">
      <alignment horizontal="left" indent="1"/>
    </xf>
    <xf numFmtId="0" fontId="1" fillId="5" borderId="2" xfId="2" applyFont="1" applyBorder="1" applyAlignment="1">
      <alignment horizontal="center"/>
    </xf>
    <xf numFmtId="0" fontId="1" fillId="5" borderId="13" xfId="2" applyFont="1" applyBorder="1" applyAlignment="1">
      <alignment horizontal="center" vertical="center"/>
    </xf>
    <xf numFmtId="0" fontId="12" fillId="0" borderId="0" xfId="0" applyFont="1"/>
    <xf numFmtId="0" fontId="5" fillId="2" borderId="0" xfId="0" applyFont="1" applyFill="1" applyAlignment="1">
      <alignment horizontal="right" indent="1"/>
    </xf>
    <xf numFmtId="14" fontId="0" fillId="0" borderId="0" xfId="0" applyNumberFormat="1"/>
    <xf numFmtId="0" fontId="0" fillId="0" borderId="0" xfId="0" applyAlignment="1">
      <alignment horizontal="left" vertical="center" indent="1"/>
    </xf>
    <xf numFmtId="0" fontId="3" fillId="0" borderId="0" xfId="0" applyFont="1" applyAlignment="1">
      <alignment horizontal="center"/>
    </xf>
    <xf numFmtId="0" fontId="5" fillId="0" borderId="0" xfId="0" applyFont="1"/>
    <xf numFmtId="0" fontId="0" fillId="8" borderId="6" xfId="0" applyFill="1" applyBorder="1"/>
    <xf numFmtId="0" fontId="3" fillId="8" borderId="7" xfId="0" applyFont="1" applyFill="1" applyBorder="1" applyAlignment="1">
      <alignment horizontal="right" vertical="center" indent="1"/>
    </xf>
    <xf numFmtId="0" fontId="0" fillId="12" borderId="6" xfId="0" applyFill="1" applyBorder="1" applyAlignment="1">
      <alignment vertical="center"/>
    </xf>
    <xf numFmtId="0" fontId="0" fillId="12" borderId="11" xfId="0" applyFill="1" applyBorder="1"/>
    <xf numFmtId="0" fontId="0" fillId="12" borderId="7" xfId="0" applyFill="1" applyBorder="1"/>
    <xf numFmtId="0" fontId="3" fillId="8" borderId="7" xfId="0" applyFont="1" applyFill="1" applyBorder="1" applyAlignment="1">
      <alignment horizontal="right" vertical="center"/>
    </xf>
    <xf numFmtId="0" fontId="14" fillId="3" borderId="3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11" fillId="0" borderId="1" xfId="0" applyNumberFormat="1" applyFont="1" applyBorder="1"/>
    <xf numFmtId="164" fontId="11" fillId="0" borderId="1" xfId="0" applyNumberFormat="1" applyFont="1" applyBorder="1" applyAlignment="1">
      <alignment horizontal="right"/>
    </xf>
    <xf numFmtId="20" fontId="11" fillId="0" borderId="1" xfId="0" quotePrefix="1" applyNumberFormat="1" applyFont="1" applyBorder="1"/>
    <xf numFmtId="20" fontId="11" fillId="0" borderId="2" xfId="0" quotePrefix="1" applyNumberFormat="1" applyFont="1" applyBorder="1"/>
    <xf numFmtId="20" fontId="11" fillId="0" borderId="1" xfId="0" quotePrefix="1" applyNumberFormat="1" applyFont="1" applyBorder="1" applyAlignment="1">
      <alignment horizontal="center"/>
    </xf>
    <xf numFmtId="20" fontId="11" fillId="0" borderId="1" xfId="0" quotePrefix="1" applyNumberFormat="1" applyFont="1" applyBorder="1" applyAlignment="1">
      <alignment horizontal="center" vertical="center"/>
    </xf>
    <xf numFmtId="20" fontId="12" fillId="0" borderId="1" xfId="0" applyNumberFormat="1" applyFont="1" applyBorder="1"/>
    <xf numFmtId="20" fontId="12" fillId="0" borderId="1" xfId="0" quotePrefix="1" applyNumberFormat="1" applyFont="1" applyBorder="1"/>
    <xf numFmtId="14" fontId="11" fillId="0" borderId="2" xfId="0" applyNumberFormat="1" applyFont="1" applyBorder="1"/>
    <xf numFmtId="164" fontId="11" fillId="0" borderId="2" xfId="0" applyNumberFormat="1" applyFont="1" applyBorder="1" applyAlignment="1">
      <alignment horizontal="right"/>
    </xf>
    <xf numFmtId="20" fontId="11" fillId="0" borderId="2" xfId="0" quotePrefix="1" applyNumberFormat="1" applyFont="1" applyBorder="1" applyAlignment="1">
      <alignment horizontal="center"/>
    </xf>
    <xf numFmtId="20" fontId="11" fillId="0" borderId="2" xfId="0" quotePrefix="1" applyNumberFormat="1" applyFont="1" applyBorder="1" applyAlignment="1">
      <alignment horizontal="center" vertical="center"/>
    </xf>
    <xf numFmtId="20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14" fontId="11" fillId="0" borderId="4" xfId="0" applyNumberFormat="1" applyFont="1" applyBorder="1"/>
    <xf numFmtId="164" fontId="11" fillId="0" borderId="4" xfId="0" applyNumberFormat="1" applyFont="1" applyBorder="1" applyAlignment="1">
      <alignment horizontal="right"/>
    </xf>
    <xf numFmtId="20" fontId="11" fillId="0" borderId="4" xfId="0" quotePrefix="1" applyNumberFormat="1" applyFont="1" applyBorder="1"/>
    <xf numFmtId="20" fontId="11" fillId="0" borderId="4" xfId="0" quotePrefix="1" applyNumberFormat="1" applyFont="1" applyBorder="1" applyAlignment="1">
      <alignment horizontal="center"/>
    </xf>
    <xf numFmtId="20" fontId="11" fillId="0" borderId="4" xfId="0" quotePrefix="1" applyNumberFormat="1" applyFont="1" applyBorder="1" applyAlignment="1">
      <alignment horizontal="center" vertical="center"/>
    </xf>
    <xf numFmtId="0" fontId="12" fillId="9" borderId="3" xfId="0" applyFont="1" applyFill="1" applyBorder="1" applyAlignment="1">
      <alignment horizontal="center"/>
    </xf>
    <xf numFmtId="165" fontId="14" fillId="0" borderId="0" xfId="0" applyNumberFormat="1" applyFont="1"/>
    <xf numFmtId="2" fontId="14" fillId="0" borderId="0" xfId="0" applyNumberFormat="1" applyFont="1"/>
    <xf numFmtId="14" fontId="15" fillId="0" borderId="0" xfId="0" applyNumberFormat="1" applyFont="1"/>
    <xf numFmtId="0" fontId="14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0" applyFont="1"/>
    <xf numFmtId="0" fontId="3" fillId="0" borderId="0" xfId="0" applyFont="1"/>
    <xf numFmtId="20" fontId="12" fillId="0" borderId="0" xfId="0" applyNumberFormat="1" applyFont="1"/>
    <xf numFmtId="20" fontId="12" fillId="0" borderId="0" xfId="0" quotePrefix="1" applyNumberFormat="1" applyFont="1"/>
    <xf numFmtId="20" fontId="17" fillId="0" borderId="0" xfId="0" quotePrefix="1" applyNumberFormat="1" applyFont="1" applyAlignment="1">
      <alignment vertical="center"/>
    </xf>
    <xf numFmtId="20" fontId="12" fillId="0" borderId="0" xfId="0" applyNumberFormat="1" applyFont="1" applyAlignment="1">
      <alignment vertical="center"/>
    </xf>
    <xf numFmtId="20" fontId="17" fillId="0" borderId="0" xfId="0" quotePrefix="1" applyNumberFormat="1" applyFont="1" applyAlignment="1">
      <alignment horizontal="center" vertical="center"/>
    </xf>
    <xf numFmtId="20" fontId="14" fillId="15" borderId="3" xfId="0" applyNumberFormat="1" applyFont="1" applyFill="1" applyBorder="1" applyAlignment="1" applyProtection="1">
      <alignment horizontal="center" vertical="center" wrapText="1"/>
      <protection locked="0"/>
    </xf>
    <xf numFmtId="20" fontId="14" fillId="16" borderId="3" xfId="0" applyNumberFormat="1" applyFont="1" applyFill="1" applyBorder="1" applyAlignment="1">
      <alignment horizontal="center" vertical="center"/>
    </xf>
    <xf numFmtId="0" fontId="0" fillId="12" borderId="3" xfId="0" applyFill="1" applyBorder="1"/>
    <xf numFmtId="0" fontId="14" fillId="3" borderId="5" xfId="0" applyFont="1" applyFill="1" applyBorder="1" applyAlignment="1">
      <alignment horizontal="center" vertical="center" wrapText="1"/>
    </xf>
    <xf numFmtId="20" fontId="12" fillId="0" borderId="0" xfId="0" applyNumberFormat="1" applyFont="1" applyAlignment="1">
      <alignment horizontal="left" indent="1"/>
    </xf>
    <xf numFmtId="20" fontId="0" fillId="0" borderId="0" xfId="0" applyNumberFormat="1"/>
    <xf numFmtId="0" fontId="14" fillId="15" borderId="3" xfId="0" applyFont="1" applyFill="1" applyBorder="1" applyAlignment="1">
      <alignment horizontal="center" vertical="center"/>
    </xf>
    <xf numFmtId="20" fontId="14" fillId="15" borderId="3" xfId="0" applyNumberFormat="1" applyFont="1" applyFill="1" applyBorder="1" applyAlignment="1">
      <alignment horizontal="center" vertical="center"/>
    </xf>
    <xf numFmtId="0" fontId="14" fillId="0" borderId="3" xfId="0" quotePrefix="1" applyFont="1" applyBorder="1" applyAlignment="1">
      <alignment horizontal="center" vertical="center"/>
    </xf>
    <xf numFmtId="0" fontId="12" fillId="9" borderId="3" xfId="0" applyFont="1" applyFill="1" applyBorder="1" applyAlignment="1">
      <alignment horizontal="right" vertical="center" indent="1"/>
    </xf>
    <xf numFmtId="2" fontId="14" fillId="0" borderId="0" xfId="0" quotePrefix="1" applyNumberFormat="1" applyFont="1"/>
    <xf numFmtId="0" fontId="14" fillId="3" borderId="8" xfId="0" applyFont="1" applyFill="1" applyBorder="1" applyAlignment="1">
      <alignment horizontal="center" vertical="center" wrapText="1"/>
    </xf>
    <xf numFmtId="20" fontId="12" fillId="0" borderId="1" xfId="0" quotePrefix="1" applyNumberFormat="1" applyFont="1" applyBorder="1" applyAlignment="1">
      <alignment horizontal="left" indent="1"/>
    </xf>
    <xf numFmtId="20" fontId="12" fillId="0" borderId="2" xfId="0" applyNumberFormat="1" applyFont="1" applyBorder="1"/>
    <xf numFmtId="20" fontId="12" fillId="0" borderId="2" xfId="0" quotePrefix="1" applyNumberFormat="1" applyFont="1" applyBorder="1"/>
    <xf numFmtId="20" fontId="12" fillId="0" borderId="2" xfId="0" applyNumberFormat="1" applyFont="1" applyBorder="1" applyAlignment="1">
      <alignment horizontal="left" indent="1"/>
    </xf>
    <xf numFmtId="20" fontId="12" fillId="0" borderId="4" xfId="0" applyNumberFormat="1" applyFont="1" applyBorder="1"/>
    <xf numFmtId="20" fontId="12" fillId="0" borderId="4" xfId="0" quotePrefix="1" applyNumberFormat="1" applyFont="1" applyBorder="1"/>
    <xf numFmtId="20" fontId="12" fillId="0" borderId="4" xfId="0" applyNumberFormat="1" applyFont="1" applyBorder="1" applyAlignment="1">
      <alignment horizontal="left" indent="1"/>
    </xf>
    <xf numFmtId="43" fontId="0" fillId="0" borderId="0" xfId="0" applyNumberFormat="1"/>
    <xf numFmtId="0" fontId="12" fillId="12" borderId="3" xfId="0" applyFont="1" applyFill="1" applyBorder="1" applyAlignment="1">
      <alignment horizontal="center" vertical="center"/>
    </xf>
    <xf numFmtId="44" fontId="12" fillId="0" borderId="0" xfId="0" applyNumberFormat="1" applyFont="1" applyAlignment="1">
      <alignment horizontal="center" vertical="center"/>
    </xf>
    <xf numFmtId="44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0" fillId="12" borderId="6" xfId="0" applyFill="1" applyBorder="1"/>
    <xf numFmtId="0" fontId="0" fillId="0" borderId="5" xfId="0" applyBorder="1"/>
    <xf numFmtId="0" fontId="8" fillId="0" borderId="0" xfId="0" applyFont="1" applyAlignment="1">
      <alignment horizontal="right" vertical="center" indent="1"/>
    </xf>
    <xf numFmtId="20" fontId="8" fillId="0" borderId="0" xfId="0" applyNumberFormat="1" applyFont="1" applyAlignment="1">
      <alignment horizontal="right" vertical="center" indent="1"/>
    </xf>
    <xf numFmtId="0" fontId="0" fillId="12" borderId="11" xfId="0" applyFill="1" applyBorder="1" applyAlignment="1">
      <alignment vertical="center"/>
    </xf>
    <xf numFmtId="165" fontId="10" fillId="0" borderId="0" xfId="0" applyNumberFormat="1" applyFont="1"/>
    <xf numFmtId="0" fontId="0" fillId="0" borderId="0" xfId="0" applyAlignment="1">
      <alignment horizontal="right" indent="1"/>
    </xf>
    <xf numFmtId="14" fontId="11" fillId="0" borderId="0" xfId="0" applyNumberFormat="1" applyFont="1"/>
    <xf numFmtId="20" fontId="11" fillId="0" borderId="0" xfId="0" quotePrefix="1" applyNumberFormat="1" applyFont="1"/>
    <xf numFmtId="164" fontId="11" fillId="0" borderId="0" xfId="0" applyNumberFormat="1" applyFont="1" applyAlignment="1">
      <alignment horizontal="right"/>
    </xf>
    <xf numFmtId="0" fontId="16" fillId="0" borderId="0" xfId="0" applyFont="1" applyAlignment="1">
      <alignment horizontal="center" vertical="center"/>
    </xf>
    <xf numFmtId="20" fontId="11" fillId="0" borderId="0" xfId="0" applyNumberFormat="1" applyFont="1" applyProtection="1">
      <protection locked="0"/>
    </xf>
    <xf numFmtId="20" fontId="11" fillId="0" borderId="19" xfId="0" applyNumberFormat="1" applyFont="1" applyBorder="1" applyProtection="1">
      <protection locked="0"/>
    </xf>
    <xf numFmtId="20" fontId="11" fillId="0" borderId="19" xfId="0" quotePrefix="1" applyNumberFormat="1" applyFont="1" applyBorder="1"/>
    <xf numFmtId="20" fontId="11" fillId="0" borderId="19" xfId="0" quotePrefix="1" applyNumberFormat="1" applyFont="1" applyBorder="1" applyAlignment="1">
      <alignment horizontal="center"/>
    </xf>
    <xf numFmtId="20" fontId="11" fillId="0" borderId="19" xfId="0" quotePrefix="1" applyNumberFormat="1" applyFont="1" applyBorder="1" applyAlignment="1">
      <alignment horizontal="center" vertical="center"/>
    </xf>
    <xf numFmtId="0" fontId="14" fillId="8" borderId="27" xfId="0" applyFont="1" applyFill="1" applyBorder="1" applyAlignment="1">
      <alignment horizontal="center" vertical="center"/>
    </xf>
    <xf numFmtId="0" fontId="14" fillId="8" borderId="28" xfId="0" applyFont="1" applyFill="1" applyBorder="1" applyAlignment="1">
      <alignment horizontal="center" vertical="center"/>
    </xf>
    <xf numFmtId="0" fontId="12" fillId="0" borderId="25" xfId="0" applyFont="1" applyBorder="1"/>
    <xf numFmtId="0" fontId="12" fillId="0" borderId="26" xfId="0" applyFont="1" applyBorder="1"/>
    <xf numFmtId="0" fontId="12" fillId="12" borderId="29" xfId="0" applyFont="1" applyFill="1" applyBorder="1" applyAlignment="1">
      <alignment horizontal="left" vertical="center" indent="1"/>
    </xf>
    <xf numFmtId="0" fontId="12" fillId="8" borderId="31" xfId="0" applyFont="1" applyFill="1" applyBorder="1" applyAlignment="1">
      <alignment horizontal="left" vertical="center" indent="1"/>
    </xf>
    <xf numFmtId="0" fontId="12" fillId="8" borderId="32" xfId="0" applyFont="1" applyFill="1" applyBorder="1" applyAlignment="1">
      <alignment horizontal="left" vertical="center" indent="1"/>
    </xf>
    <xf numFmtId="0" fontId="12" fillId="8" borderId="36" xfId="0" applyFont="1" applyFill="1" applyBorder="1" applyAlignment="1">
      <alignment horizontal="left" vertical="center" indent="1"/>
    </xf>
    <xf numFmtId="20" fontId="14" fillId="11" borderId="33" xfId="0" applyNumberFormat="1" applyFont="1" applyFill="1" applyBorder="1" applyAlignment="1">
      <alignment horizontal="center" vertical="center"/>
    </xf>
    <xf numFmtId="20" fontId="14" fillId="11" borderId="34" xfId="0" applyNumberFormat="1" applyFont="1" applyFill="1" applyBorder="1" applyAlignment="1">
      <alignment horizontal="center" vertical="center"/>
    </xf>
    <xf numFmtId="20" fontId="14" fillId="11" borderId="35" xfId="0" applyNumberFormat="1" applyFont="1" applyFill="1" applyBorder="1" applyAlignment="1">
      <alignment horizontal="center" vertical="center"/>
    </xf>
    <xf numFmtId="20" fontId="14" fillId="18" borderId="30" xfId="0" applyNumberFormat="1" applyFont="1" applyFill="1" applyBorder="1" applyAlignment="1">
      <alignment horizontal="center" vertical="center"/>
    </xf>
    <xf numFmtId="20" fontId="14" fillId="11" borderId="31" xfId="0" applyNumberFormat="1" applyFont="1" applyFill="1" applyBorder="1" applyAlignment="1">
      <alignment horizontal="center" vertical="center"/>
    </xf>
    <xf numFmtId="20" fontId="14" fillId="11" borderId="32" xfId="0" applyNumberFormat="1" applyFont="1" applyFill="1" applyBorder="1" applyAlignment="1">
      <alignment horizontal="center" vertical="center"/>
    </xf>
    <xf numFmtId="20" fontId="14" fillId="11" borderId="28" xfId="0" applyNumberFormat="1" applyFont="1" applyFill="1" applyBorder="1" applyAlignment="1">
      <alignment horizontal="center" vertical="center"/>
    </xf>
    <xf numFmtId="0" fontId="12" fillId="12" borderId="27" xfId="0" applyFont="1" applyFill="1" applyBorder="1" applyAlignment="1">
      <alignment horizontal="left" vertical="center" indent="1"/>
    </xf>
    <xf numFmtId="0" fontId="12" fillId="12" borderId="31" xfId="0" applyFont="1" applyFill="1" applyBorder="1" applyAlignment="1">
      <alignment horizontal="left" vertical="center" indent="1"/>
    </xf>
    <xf numFmtId="0" fontId="12" fillId="12" borderId="32" xfId="0" applyFont="1" applyFill="1" applyBorder="1" applyAlignment="1">
      <alignment horizontal="left" vertical="center" indent="1"/>
    </xf>
    <xf numFmtId="0" fontId="12" fillId="11" borderId="0" xfId="0" applyFont="1" applyFill="1"/>
    <xf numFmtId="0" fontId="14" fillId="0" borderId="0" xfId="0" applyFont="1" applyAlignment="1">
      <alignment horizontal="left" vertical="center" wrapText="1" indent="1"/>
    </xf>
    <xf numFmtId="20" fontId="11" fillId="0" borderId="0" xfId="0" applyNumberFormat="1" applyFont="1" applyAlignment="1">
      <alignment horizontal="left" vertical="center" indent="1"/>
    </xf>
    <xf numFmtId="164" fontId="11" fillId="0" borderId="0" xfId="0" applyNumberFormat="1" applyFont="1" applyAlignment="1">
      <alignment horizontal="left" vertical="center" indent="1"/>
    </xf>
    <xf numFmtId="20" fontId="11" fillId="0" borderId="0" xfId="0" applyNumberFormat="1" applyFont="1" applyAlignment="1">
      <alignment horizontal="right" vertical="center" indent="1"/>
    </xf>
    <xf numFmtId="20" fontId="16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20" fontId="16" fillId="0" borderId="0" xfId="0" applyNumberFormat="1" applyFont="1" applyAlignment="1">
      <alignment horizontal="right" indent="1"/>
    </xf>
    <xf numFmtId="0" fontId="20" fillId="0" borderId="0" xfId="5" applyFont="1" applyFill="1" applyBorder="1" applyProtection="1"/>
    <xf numFmtId="0" fontId="0" fillId="0" borderId="0" xfId="0" applyAlignment="1">
      <alignment vertical="center" wrapText="1"/>
    </xf>
    <xf numFmtId="165" fontId="14" fillId="0" borderId="0" xfId="0" applyNumberFormat="1" applyFont="1" applyAlignment="1">
      <alignment horizontal="center" vertical="center"/>
    </xf>
    <xf numFmtId="0" fontId="12" fillId="0" borderId="41" xfId="0" applyFont="1" applyBorder="1"/>
    <xf numFmtId="0" fontId="12" fillId="0" borderId="3" xfId="0" applyFont="1" applyBorder="1"/>
    <xf numFmtId="0" fontId="12" fillId="0" borderId="42" xfId="0" applyFont="1" applyBorder="1"/>
    <xf numFmtId="0" fontId="14" fillId="11" borderId="41" xfId="0" applyFont="1" applyFill="1" applyBorder="1" applyAlignment="1">
      <alignment horizontal="center" vertical="center"/>
    </xf>
    <xf numFmtId="0" fontId="14" fillId="11" borderId="3" xfId="0" applyFont="1" applyFill="1" applyBorder="1" applyAlignment="1">
      <alignment horizontal="center" vertical="center"/>
    </xf>
    <xf numFmtId="0" fontId="14" fillId="11" borderId="42" xfId="0" applyFont="1" applyFill="1" applyBorder="1" applyAlignment="1">
      <alignment horizontal="center" vertical="center"/>
    </xf>
    <xf numFmtId="0" fontId="3" fillId="12" borderId="41" xfId="0" applyFont="1" applyFill="1" applyBorder="1" applyAlignment="1">
      <alignment horizontal="center" vertical="center"/>
    </xf>
    <xf numFmtId="0" fontId="3" fillId="12" borderId="3" xfId="0" applyFont="1" applyFill="1" applyBorder="1" applyAlignment="1">
      <alignment horizontal="center" vertical="center"/>
    </xf>
    <xf numFmtId="0" fontId="3" fillId="12" borderId="42" xfId="0" applyFont="1" applyFill="1" applyBorder="1" applyAlignment="1">
      <alignment horizontal="center" vertical="center"/>
    </xf>
    <xf numFmtId="0" fontId="8" fillId="11" borderId="29" xfId="0" applyFont="1" applyFill="1" applyBorder="1" applyAlignment="1">
      <alignment horizontal="center" vertical="center"/>
    </xf>
    <xf numFmtId="0" fontId="8" fillId="11" borderId="43" xfId="0" applyFont="1" applyFill="1" applyBorder="1" applyAlignment="1">
      <alignment horizontal="center" vertical="center"/>
    </xf>
    <xf numFmtId="0" fontId="8" fillId="11" borderId="30" xfId="0" applyFont="1" applyFill="1" applyBorder="1" applyAlignment="1">
      <alignment horizontal="center" vertical="center"/>
    </xf>
    <xf numFmtId="0" fontId="14" fillId="17" borderId="38" xfId="0" applyFont="1" applyFill="1" applyBorder="1" applyAlignment="1">
      <alignment horizontal="center" vertical="center"/>
    </xf>
    <xf numFmtId="0" fontId="14" fillId="17" borderId="39" xfId="0" applyFont="1" applyFill="1" applyBorder="1" applyAlignment="1">
      <alignment horizontal="center" vertical="center"/>
    </xf>
    <xf numFmtId="0" fontId="14" fillId="17" borderId="40" xfId="0" applyFont="1" applyFill="1" applyBorder="1" applyAlignment="1">
      <alignment horizontal="center" vertical="center"/>
    </xf>
    <xf numFmtId="0" fontId="12" fillId="0" borderId="38" xfId="0" applyFont="1" applyBorder="1" applyAlignment="1">
      <alignment horizontal="left" vertical="center" indent="1"/>
    </xf>
    <xf numFmtId="0" fontId="12" fillId="0" borderId="39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0" fontId="12" fillId="0" borderId="41" xfId="0" applyFont="1" applyBorder="1" applyAlignment="1">
      <alignment horizontal="left" vertical="center" indent="1"/>
    </xf>
    <xf numFmtId="0" fontId="12" fillId="0" borderId="3" xfId="0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0" fontId="12" fillId="0" borderId="29" xfId="0" applyFont="1" applyBorder="1" applyAlignment="1">
      <alignment horizontal="left" vertical="center" indent="1"/>
    </xf>
    <xf numFmtId="0" fontId="12" fillId="0" borderId="43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168" fontId="12" fillId="11" borderId="49" xfId="0" applyNumberFormat="1" applyFont="1" applyFill="1" applyBorder="1" applyAlignment="1">
      <alignment horizontal="left" vertical="center" indent="1"/>
    </xf>
    <xf numFmtId="0" fontId="12" fillId="11" borderId="44" xfId="0" applyFont="1" applyFill="1" applyBorder="1"/>
    <xf numFmtId="0" fontId="12" fillId="11" borderId="45" xfId="0" applyFont="1" applyFill="1" applyBorder="1"/>
    <xf numFmtId="167" fontId="12" fillId="11" borderId="6" xfId="0" applyNumberFormat="1" applyFont="1" applyFill="1" applyBorder="1" applyAlignment="1">
      <alignment horizontal="left" vertical="center" indent="1"/>
    </xf>
    <xf numFmtId="0" fontId="12" fillId="11" borderId="11" xfId="0" applyFont="1" applyFill="1" applyBorder="1"/>
    <xf numFmtId="0" fontId="12" fillId="11" borderId="52" xfId="0" applyFont="1" applyFill="1" applyBorder="1"/>
    <xf numFmtId="0" fontId="12" fillId="11" borderId="6" xfId="0" applyFont="1" applyFill="1" applyBorder="1" applyAlignment="1">
      <alignment horizontal="left" vertical="center" indent="1"/>
    </xf>
    <xf numFmtId="0" fontId="12" fillId="11" borderId="6" xfId="0" quotePrefix="1" applyFont="1" applyFill="1" applyBorder="1" applyAlignment="1">
      <alignment horizontal="left" vertical="center" indent="1"/>
    </xf>
    <xf numFmtId="0" fontId="12" fillId="11" borderId="51" xfId="0" applyFont="1" applyFill="1" applyBorder="1" applyAlignment="1">
      <alignment horizontal="left" vertical="center" indent="1"/>
    </xf>
    <xf numFmtId="0" fontId="12" fillId="11" borderId="53" xfId="0" applyFont="1" applyFill="1" applyBorder="1"/>
    <xf numFmtId="0" fontId="12" fillId="11" borderId="50" xfId="0" applyFont="1" applyFill="1" applyBorder="1"/>
    <xf numFmtId="0" fontId="12" fillId="8" borderId="38" xfId="0" applyFont="1" applyFill="1" applyBorder="1" applyAlignment="1">
      <alignment horizontal="right" vertical="center" indent="1"/>
    </xf>
    <xf numFmtId="0" fontId="12" fillId="8" borderId="41" xfId="0" applyFont="1" applyFill="1" applyBorder="1" applyAlignment="1">
      <alignment horizontal="right" vertical="center" indent="1"/>
    </xf>
    <xf numFmtId="0" fontId="12" fillId="8" borderId="29" xfId="0" applyFont="1" applyFill="1" applyBorder="1" applyAlignment="1">
      <alignment horizontal="right" vertical="center" indent="1"/>
    </xf>
    <xf numFmtId="0" fontId="12" fillId="11" borderId="40" xfId="0" applyFont="1" applyFill="1" applyBorder="1" applyAlignment="1">
      <alignment horizontal="center" vertical="center"/>
    </xf>
    <xf numFmtId="0" fontId="12" fillId="11" borderId="42" xfId="0" applyFont="1" applyFill="1" applyBorder="1" applyAlignment="1">
      <alignment horizontal="center" vertical="center"/>
    </xf>
    <xf numFmtId="0" fontId="12" fillId="11" borderId="30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indent="1"/>
    </xf>
    <xf numFmtId="0" fontId="12" fillId="0" borderId="0" xfId="0" quotePrefix="1" applyFont="1" applyAlignment="1">
      <alignment horizontal="left" vertical="center" indent="1"/>
    </xf>
    <xf numFmtId="9" fontId="12" fillId="0" borderId="0" xfId="0" applyNumberFormat="1" applyFont="1" applyAlignment="1">
      <alignment horizontal="center" vertical="center"/>
    </xf>
    <xf numFmtId="165" fontId="14" fillId="0" borderId="3" xfId="0" applyNumberFormat="1" applyFont="1" applyBorder="1" applyAlignment="1">
      <alignment vertical="center"/>
    </xf>
    <xf numFmtId="0" fontId="12" fillId="0" borderId="20" xfId="0" applyFont="1" applyBorder="1" applyAlignment="1">
      <alignment horizontal="right" vertical="center"/>
    </xf>
    <xf numFmtId="2" fontId="14" fillId="0" borderId="3" xfId="0" applyNumberFormat="1" applyFont="1" applyBorder="1" applyAlignment="1">
      <alignment vertical="center"/>
    </xf>
    <xf numFmtId="0" fontId="12" fillId="0" borderId="6" xfId="0" quotePrefix="1" applyFont="1" applyBorder="1" applyAlignment="1">
      <alignment vertical="center"/>
    </xf>
    <xf numFmtId="0" fontId="12" fillId="0" borderId="6" xfId="0" applyFont="1" applyBorder="1" applyAlignment="1">
      <alignment horizontal="right" vertical="center"/>
    </xf>
    <xf numFmtId="0" fontId="12" fillId="0" borderId="3" xfId="0" applyFont="1" applyBorder="1" applyAlignment="1">
      <alignment horizontal="right" vertical="center"/>
    </xf>
    <xf numFmtId="44" fontId="12" fillId="0" borderId="0" xfId="0" quotePrefix="1" applyNumberFormat="1" applyFont="1" applyAlignment="1">
      <alignment horizontal="center" vertical="center"/>
    </xf>
    <xf numFmtId="44" fontId="12" fillId="0" borderId="0" xfId="0" quotePrefix="1" applyNumberFormat="1" applyFont="1" applyAlignment="1">
      <alignment vertical="center"/>
    </xf>
    <xf numFmtId="44" fontId="14" fillId="0" borderId="0" xfId="0" quotePrefix="1" applyNumberFormat="1" applyFont="1" applyAlignment="1">
      <alignment horizontal="center" vertical="center"/>
    </xf>
    <xf numFmtId="43" fontId="12" fillId="11" borderId="8" xfId="0" applyNumberFormat="1" applyFont="1" applyFill="1" applyBorder="1" applyAlignment="1">
      <alignment vertical="center"/>
    </xf>
    <xf numFmtId="43" fontId="12" fillId="11" borderId="3" xfId="0" applyNumberFormat="1" applyFont="1" applyFill="1" applyBorder="1" applyAlignment="1">
      <alignment vertical="center"/>
    </xf>
    <xf numFmtId="165" fontId="12" fillId="11" borderId="3" xfId="0" applyNumberFormat="1" applyFont="1" applyFill="1" applyBorder="1" applyAlignment="1">
      <alignment horizontal="center" vertical="center"/>
    </xf>
    <xf numFmtId="14" fontId="12" fillId="12" borderId="3" xfId="0" quotePrefix="1" applyNumberFormat="1" applyFont="1" applyFill="1" applyBorder="1" applyAlignment="1">
      <alignment horizontal="right" vertical="center"/>
    </xf>
    <xf numFmtId="14" fontId="12" fillId="12" borderId="7" xfId="0" quotePrefix="1" applyNumberFormat="1" applyFont="1" applyFill="1" applyBorder="1" applyAlignment="1">
      <alignment vertical="center"/>
    </xf>
    <xf numFmtId="43" fontId="14" fillId="0" borderId="17" xfId="0" applyNumberFormat="1" applyFont="1" applyBorder="1" applyAlignment="1">
      <alignment vertical="center"/>
    </xf>
    <xf numFmtId="0" fontId="0" fillId="0" borderId="16" xfId="0" applyBorder="1"/>
    <xf numFmtId="0" fontId="12" fillId="0" borderId="16" xfId="0" applyFont="1" applyBorder="1"/>
    <xf numFmtId="166" fontId="12" fillId="0" borderId="16" xfId="0" applyNumberFormat="1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 wrapText="1"/>
    </xf>
    <xf numFmtId="2" fontId="12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7" borderId="13" xfId="4" applyFont="1" applyBorder="1" applyAlignment="1">
      <alignment horizontal="center"/>
    </xf>
    <xf numFmtId="0" fontId="9" fillId="7" borderId="13" xfId="4" applyFont="1" applyBorder="1" applyAlignment="1">
      <alignment horizontal="left" indent="1"/>
    </xf>
    <xf numFmtId="0" fontId="12" fillId="0" borderId="0" xfId="0" applyFont="1" applyAlignment="1">
      <alignment horizontal="right" vertical="center" indent="1"/>
    </xf>
    <xf numFmtId="0" fontId="9" fillId="11" borderId="22" xfId="0" applyFont="1" applyFill="1" applyBorder="1" applyAlignment="1">
      <alignment horizontal="left" vertical="center" indent="2"/>
    </xf>
    <xf numFmtId="0" fontId="12" fillId="0" borderId="16" xfId="0" applyFont="1" applyBorder="1" applyAlignment="1">
      <alignment horizontal="right" vertical="center" indent="1"/>
    </xf>
    <xf numFmtId="0" fontId="17" fillId="12" borderId="16" xfId="0" applyFont="1" applyFill="1" applyBorder="1" applyAlignment="1">
      <alignment horizontal="center" vertical="center"/>
    </xf>
    <xf numFmtId="0" fontId="17" fillId="12" borderId="17" xfId="0" applyFont="1" applyFill="1" applyBorder="1" applyAlignment="1">
      <alignment horizontal="center" vertical="center"/>
    </xf>
    <xf numFmtId="170" fontId="11" fillId="12" borderId="1" xfId="0" applyNumberFormat="1" applyFont="1" applyFill="1" applyBorder="1" applyProtection="1">
      <protection locked="0"/>
    </xf>
    <xf numFmtId="170" fontId="11" fillId="12" borderId="2" xfId="0" applyNumberFormat="1" applyFont="1" applyFill="1" applyBorder="1" applyProtection="1">
      <protection locked="0"/>
    </xf>
    <xf numFmtId="170" fontId="11" fillId="12" borderId="4" xfId="0" applyNumberFormat="1" applyFont="1" applyFill="1" applyBorder="1" applyProtection="1">
      <protection locked="0"/>
    </xf>
    <xf numFmtId="0" fontId="24" fillId="0" borderId="55" xfId="0" applyFont="1" applyBorder="1"/>
    <xf numFmtId="0" fontId="24" fillId="0" borderId="0" xfId="0" applyFont="1"/>
    <xf numFmtId="0" fontId="16" fillId="13" borderId="1" xfId="0" applyFont="1" applyFill="1" applyBorder="1" applyAlignment="1" applyProtection="1">
      <alignment horizontal="center" vertical="center"/>
      <protection locked="0"/>
    </xf>
    <xf numFmtId="0" fontId="16" fillId="13" borderId="2" xfId="0" applyFont="1" applyFill="1" applyBorder="1" applyAlignment="1" applyProtection="1">
      <alignment horizontal="center" vertical="center"/>
      <protection locked="0"/>
    </xf>
    <xf numFmtId="0" fontId="16" fillId="13" borderId="4" xfId="0" applyFont="1" applyFill="1" applyBorder="1" applyAlignment="1" applyProtection="1">
      <alignment horizontal="center" vertical="center"/>
      <protection locked="0"/>
    </xf>
    <xf numFmtId="43" fontId="12" fillId="11" borderId="8" xfId="0" applyNumberFormat="1" applyFont="1" applyFill="1" applyBorder="1" applyAlignment="1" applyProtection="1">
      <alignment vertical="center"/>
      <protection locked="0"/>
    </xf>
    <xf numFmtId="41" fontId="12" fillId="11" borderId="3" xfId="0" applyNumberFormat="1" applyFont="1" applyFill="1" applyBorder="1" applyAlignment="1" applyProtection="1">
      <alignment horizontal="center" vertical="center"/>
      <protection locked="0"/>
    </xf>
    <xf numFmtId="171" fontId="11" fillId="12" borderId="1" xfId="0" applyNumberFormat="1" applyFont="1" applyFill="1" applyBorder="1"/>
    <xf numFmtId="171" fontId="11" fillId="12" borderId="2" xfId="0" applyNumberFormat="1" applyFont="1" applyFill="1" applyBorder="1"/>
    <xf numFmtId="171" fontId="11" fillId="12" borderId="4" xfId="0" applyNumberFormat="1" applyFont="1" applyFill="1" applyBorder="1"/>
    <xf numFmtId="0" fontId="11" fillId="0" borderId="18" xfId="0" applyFont="1" applyBorder="1"/>
    <xf numFmtId="172" fontId="25" fillId="0" borderId="17" xfId="0" applyNumberFormat="1" applyFont="1" applyBorder="1" applyAlignment="1" applyProtection="1">
      <alignment horizontal="center"/>
      <protection locked="0"/>
    </xf>
    <xf numFmtId="0" fontId="12" fillId="8" borderId="41" xfId="0" applyFont="1" applyFill="1" applyBorder="1" applyAlignment="1">
      <alignment horizontal="right" vertical="center" indent="1"/>
    </xf>
    <xf numFmtId="0" fontId="12" fillId="8" borderId="3" xfId="0" applyFont="1" applyFill="1" applyBorder="1" applyAlignment="1">
      <alignment horizontal="right" vertical="center" indent="1"/>
    </xf>
    <xf numFmtId="0" fontId="12" fillId="8" borderId="29" xfId="0" applyFont="1" applyFill="1" applyBorder="1" applyAlignment="1">
      <alignment horizontal="right" vertical="center" indent="1"/>
    </xf>
    <xf numFmtId="0" fontId="12" fillId="8" borderId="43" xfId="0" applyFont="1" applyFill="1" applyBorder="1" applyAlignment="1">
      <alignment horizontal="right" vertical="center" indent="1"/>
    </xf>
    <xf numFmtId="0" fontId="14" fillId="17" borderId="46" xfId="0" applyFont="1" applyFill="1" applyBorder="1" applyAlignment="1">
      <alignment horizontal="center" vertical="center"/>
    </xf>
    <xf numFmtId="0" fontId="14" fillId="17" borderId="47" xfId="0" applyFont="1" applyFill="1" applyBorder="1" applyAlignment="1">
      <alignment horizontal="center" vertical="center"/>
    </xf>
    <xf numFmtId="0" fontId="14" fillId="17" borderId="48" xfId="0" applyFont="1" applyFill="1" applyBorder="1" applyAlignment="1">
      <alignment horizontal="center" vertical="center"/>
    </xf>
    <xf numFmtId="0" fontId="12" fillId="8" borderId="38" xfId="0" applyFont="1" applyFill="1" applyBorder="1" applyAlignment="1">
      <alignment horizontal="right" vertical="center" indent="1"/>
    </xf>
    <xf numFmtId="0" fontId="12" fillId="8" borderId="39" xfId="0" applyFont="1" applyFill="1" applyBorder="1" applyAlignment="1">
      <alignment horizontal="right" vertical="center" indent="1"/>
    </xf>
    <xf numFmtId="0" fontId="8" fillId="17" borderId="25" xfId="0" applyFont="1" applyFill="1" applyBorder="1" applyAlignment="1">
      <alignment horizontal="center" vertical="center"/>
    </xf>
    <xf numFmtId="0" fontId="8" fillId="17" borderId="26" xfId="0" applyFont="1" applyFill="1" applyBorder="1" applyAlignment="1">
      <alignment horizontal="center" vertical="center"/>
    </xf>
    <xf numFmtId="0" fontId="8" fillId="17" borderId="23" xfId="0" applyFont="1" applyFill="1" applyBorder="1" applyAlignment="1">
      <alignment horizontal="center" vertical="center" wrapText="1"/>
    </xf>
    <xf numFmtId="0" fontId="8" fillId="17" borderId="24" xfId="0" applyFont="1" applyFill="1" applyBorder="1" applyAlignment="1">
      <alignment horizontal="center" vertical="center" wrapText="1"/>
    </xf>
    <xf numFmtId="0" fontId="8" fillId="17" borderId="25" xfId="0" applyFont="1" applyFill="1" applyBorder="1" applyAlignment="1">
      <alignment horizontal="center" vertical="center" wrapText="1"/>
    </xf>
    <xf numFmtId="0" fontId="8" fillId="17" borderId="26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44" fontId="14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right" vertical="center" indent="1"/>
    </xf>
    <xf numFmtId="0" fontId="9" fillId="11" borderId="21" xfId="0" applyFont="1" applyFill="1" applyBorder="1" applyAlignment="1" applyProtection="1">
      <alignment horizontal="left" vertical="center" indent="2"/>
      <protection locked="0"/>
    </xf>
    <xf numFmtId="0" fontId="9" fillId="11" borderId="16" xfId="0" applyFont="1" applyFill="1" applyBorder="1" applyAlignment="1">
      <alignment horizontal="left" vertical="center" indent="2"/>
    </xf>
    <xf numFmtId="0" fontId="9" fillId="11" borderId="22" xfId="0" applyFont="1" applyFill="1" applyBorder="1" applyAlignment="1">
      <alignment horizontal="left" vertical="center" indent="2"/>
    </xf>
    <xf numFmtId="0" fontId="12" fillId="0" borderId="16" xfId="0" applyFont="1" applyBorder="1" applyAlignment="1">
      <alignment horizontal="right" vertical="center" indent="1"/>
    </xf>
    <xf numFmtId="0" fontId="17" fillId="12" borderId="21" xfId="0" applyFont="1" applyFill="1" applyBorder="1" applyAlignment="1">
      <alignment horizontal="center" vertical="center"/>
    </xf>
    <xf numFmtId="0" fontId="17" fillId="12" borderId="16" xfId="0" applyFont="1" applyFill="1" applyBorder="1" applyAlignment="1">
      <alignment horizontal="center" vertical="center"/>
    </xf>
    <xf numFmtId="0" fontId="17" fillId="12" borderId="22" xfId="0" applyFont="1" applyFill="1" applyBorder="1" applyAlignment="1">
      <alignment horizontal="center" vertical="center"/>
    </xf>
    <xf numFmtId="0" fontId="17" fillId="12" borderId="18" xfId="0" applyFont="1" applyFill="1" applyBorder="1" applyAlignment="1">
      <alignment horizontal="center" vertical="center"/>
    </xf>
    <xf numFmtId="0" fontId="17" fillId="12" borderId="19" xfId="0" applyFont="1" applyFill="1" applyBorder="1" applyAlignment="1">
      <alignment horizontal="center" vertical="center"/>
    </xf>
    <xf numFmtId="0" fontId="17" fillId="12" borderId="17" xfId="0" applyFont="1" applyFill="1" applyBorder="1" applyAlignment="1">
      <alignment horizontal="center" vertical="center"/>
    </xf>
    <xf numFmtId="0" fontId="12" fillId="12" borderId="6" xfId="0" applyFont="1" applyFill="1" applyBorder="1" applyAlignment="1">
      <alignment horizontal="center" vertical="center"/>
    </xf>
    <xf numFmtId="0" fontId="12" fillId="12" borderId="11" xfId="0" applyFont="1" applyFill="1" applyBorder="1" applyAlignment="1">
      <alignment horizontal="center" vertical="center"/>
    </xf>
    <xf numFmtId="0" fontId="12" fillId="12" borderId="7" xfId="0" applyFont="1" applyFill="1" applyBorder="1" applyAlignment="1">
      <alignment horizontal="center" vertical="center"/>
    </xf>
    <xf numFmtId="0" fontId="14" fillId="12" borderId="8" xfId="0" applyFont="1" applyFill="1" applyBorder="1" applyAlignment="1">
      <alignment horizontal="center" vertical="center"/>
    </xf>
    <xf numFmtId="0" fontId="14" fillId="12" borderId="10" xfId="0" applyFont="1" applyFill="1" applyBorder="1" applyAlignment="1">
      <alignment horizontal="center" vertical="center"/>
    </xf>
    <xf numFmtId="0" fontId="14" fillId="12" borderId="8" xfId="0" applyFont="1" applyFill="1" applyBorder="1" applyAlignment="1">
      <alignment horizontal="center" vertical="center" wrapText="1"/>
    </xf>
    <xf numFmtId="0" fontId="14" fillId="12" borderId="10" xfId="0" applyFont="1" applyFill="1" applyBorder="1" applyAlignment="1">
      <alignment horizontal="center" vertical="center" wrapText="1"/>
    </xf>
    <xf numFmtId="0" fontId="14" fillId="12" borderId="6" xfId="0" applyFont="1" applyFill="1" applyBorder="1" applyAlignment="1">
      <alignment horizontal="center" vertical="center"/>
    </xf>
    <xf numFmtId="0" fontId="3" fillId="12" borderId="11" xfId="0" applyFont="1" applyFill="1" applyBorder="1" applyAlignment="1">
      <alignment horizontal="center" vertical="center"/>
    </xf>
    <xf numFmtId="0" fontId="3" fillId="12" borderId="7" xfId="0" applyFont="1" applyFill="1" applyBorder="1" applyAlignment="1">
      <alignment horizontal="center" vertical="center"/>
    </xf>
    <xf numFmtId="0" fontId="14" fillId="12" borderId="11" xfId="0" applyFont="1" applyFill="1" applyBorder="1" applyAlignment="1">
      <alignment horizontal="center" vertical="center"/>
    </xf>
    <xf numFmtId="0" fontId="14" fillId="12" borderId="7" xfId="0" applyFont="1" applyFill="1" applyBorder="1" applyAlignment="1">
      <alignment horizontal="center" vertical="center"/>
    </xf>
    <xf numFmtId="0" fontId="5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14" fillId="3" borderId="6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4" fillId="12" borderId="21" xfId="0" applyFont="1" applyFill="1" applyBorder="1" applyAlignment="1">
      <alignment horizontal="center" vertical="center" wrapText="1"/>
    </xf>
    <xf numFmtId="0" fontId="14" fillId="12" borderId="18" xfId="0" applyFont="1" applyFill="1" applyBorder="1" applyAlignment="1">
      <alignment horizontal="center" vertical="center" wrapText="1"/>
    </xf>
    <xf numFmtId="0" fontId="16" fillId="19" borderId="6" xfId="0" applyFont="1" applyFill="1" applyBorder="1" applyAlignment="1">
      <alignment horizontal="center"/>
    </xf>
    <xf numFmtId="0" fontId="0" fillId="0" borderId="22" xfId="0" applyBorder="1"/>
    <xf numFmtId="0" fontId="5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0" fillId="0" borderId="0" xfId="0" applyAlignment="1">
      <alignment horizontal="left" vertical="center" indent="1"/>
    </xf>
    <xf numFmtId="169" fontId="17" fillId="11" borderId="37" xfId="0" applyNumberFormat="1" applyFont="1" applyFill="1" applyBorder="1" applyAlignment="1">
      <alignment horizontal="left" vertical="center" indent="1"/>
    </xf>
    <xf numFmtId="169" fontId="17" fillId="11" borderId="28" xfId="0" applyNumberFormat="1" applyFont="1" applyFill="1" applyBorder="1" applyAlignment="1">
      <alignment horizontal="left" vertical="center" indent="1"/>
    </xf>
    <xf numFmtId="0" fontId="24" fillId="8" borderId="25" xfId="0" applyFont="1" applyFill="1" applyBorder="1" applyAlignment="1">
      <alignment horizontal="center"/>
    </xf>
    <xf numFmtId="0" fontId="24" fillId="8" borderId="54" xfId="0" applyFont="1" applyFill="1" applyBorder="1" applyAlignment="1">
      <alignment horizontal="center"/>
    </xf>
    <xf numFmtId="0" fontId="8" fillId="7" borderId="1" xfId="4" applyFont="1" applyBorder="1" applyAlignment="1">
      <alignment horizontal="center" vertical="center" textRotation="90"/>
    </xf>
    <xf numFmtId="0" fontId="8" fillId="7" borderId="2" xfId="4" applyFont="1" applyBorder="1" applyAlignment="1">
      <alignment horizontal="center" vertical="center" textRotation="90"/>
    </xf>
    <xf numFmtId="0" fontId="8" fillId="7" borderId="13" xfId="4" applyFont="1" applyBorder="1" applyAlignment="1">
      <alignment horizontal="center" vertical="center" textRotation="90"/>
    </xf>
    <xf numFmtId="0" fontId="8" fillId="7" borderId="4" xfId="4" applyFont="1" applyBorder="1" applyAlignment="1">
      <alignment horizontal="center" vertical="center" textRotation="90"/>
    </xf>
    <xf numFmtId="0" fontId="8" fillId="6" borderId="1" xfId="3" applyFont="1" applyBorder="1" applyAlignment="1">
      <alignment horizontal="center" vertical="center" textRotation="90"/>
    </xf>
    <xf numFmtId="0" fontId="8" fillId="6" borderId="2" xfId="3" applyFont="1" applyBorder="1" applyAlignment="1">
      <alignment horizontal="center" vertical="center" textRotation="90"/>
    </xf>
    <xf numFmtId="0" fontId="8" fillId="6" borderId="4" xfId="3" applyFont="1" applyBorder="1" applyAlignment="1">
      <alignment horizontal="center" vertical="center" textRotation="90"/>
    </xf>
    <xf numFmtId="0" fontId="6" fillId="5" borderId="10" xfId="2" applyFont="1" applyBorder="1" applyAlignment="1">
      <alignment horizontal="center" vertical="center" textRotation="90"/>
    </xf>
    <xf numFmtId="0" fontId="6" fillId="5" borderId="3" xfId="2" applyFont="1" applyBorder="1" applyAlignment="1">
      <alignment horizontal="center" vertical="center" textRotation="90"/>
    </xf>
    <xf numFmtId="0" fontId="13" fillId="4" borderId="1" xfId="1" applyFont="1" applyBorder="1" applyAlignment="1">
      <alignment horizontal="center" vertical="center"/>
    </xf>
    <xf numFmtId="0" fontId="7" fillId="4" borderId="5" xfId="1" applyBorder="1" applyAlignment="1">
      <alignment horizontal="center" vertical="center"/>
    </xf>
    <xf numFmtId="0" fontId="7" fillId="4" borderId="0" xfId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/>
    </xf>
  </cellXfs>
  <cellStyles count="6">
    <cellStyle name="20% - Ênfase5" xfId="2" builtinId="46"/>
    <cellStyle name="40% - Ênfase5" xfId="3" builtinId="47"/>
    <cellStyle name="60% - Ênfase5" xfId="4" builtinId="48"/>
    <cellStyle name="Ênfase1" xfId="5" builtinId="29"/>
    <cellStyle name="Ênfase5" xfId="1" builtinId="45"/>
    <cellStyle name="Normal" xfId="0" builtinId="0"/>
  </cellStyles>
  <dxfs count="10">
    <dxf>
      <font>
        <color theme="0"/>
      </font>
    </dxf>
    <dxf>
      <font>
        <b/>
        <i val="0"/>
        <color theme="5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ont>
        <b/>
        <i val="0"/>
        <color theme="5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theme="0"/>
      </font>
      <fill>
        <patternFill>
          <bgColor theme="4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theme="0"/>
      </font>
      <fill>
        <patternFill>
          <bgColor theme="4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B8DE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checked="Checked" fmlaLink="'controle de ponto'!$Y$5" lockText="1"/>
</file>

<file path=xl/ctrlProps/ctrlProp10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Radio" firstButton="1" fmlaLink="'controle de ponto'!$Y$4" lockText="1"/>
</file>

<file path=xl/ctrlProps/ctrlProp12.xml><?xml version="1.0" encoding="utf-8"?>
<formControlPr xmlns="http://schemas.microsoft.com/office/spreadsheetml/2009/9/main" objectType="Radio" checked="Checked" lockText="1"/>
</file>

<file path=xl/ctrlProps/ctrlProp13.xml><?xml version="1.0" encoding="utf-8"?>
<formControlPr xmlns="http://schemas.microsoft.com/office/spreadsheetml/2009/9/main" objectType="Spin" dx="22" fmlaLink="Parâmetros!$H$9" inc="5" max="100" min="50" page="10" val="50"/>
</file>

<file path=xl/ctrlProps/ctrlProp14.xml><?xml version="1.0" encoding="utf-8"?>
<formControlPr xmlns="http://schemas.microsoft.com/office/spreadsheetml/2009/9/main" objectType="Spin" dx="22" fmlaLink="$I$9" inc="5" max="50" min="20" page="10" val="20"/>
</file>

<file path=xl/ctrlProps/ctrlProp15.xml><?xml version="1.0" encoding="utf-8"?>
<formControlPr xmlns="http://schemas.microsoft.com/office/spreadsheetml/2009/9/main" objectType="Spin" dx="22" fmlaLink="$J$9" inc="5" max="100" min="50" page="10" val="50"/>
</file>

<file path=xl/ctrlProps/ctrlProp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Radio" checked="Checked" firstButton="1" fmlaLink="'controle de ponto'!$Y$2" lockText="1"/>
</file>

<file path=xl/ctrlProps/ctrlProp4.xml><?xml version="1.0" encoding="utf-8"?>
<formControlPr xmlns="http://schemas.microsoft.com/office/spreadsheetml/2009/9/main" objectType="Radio" lockText="1"/>
</file>

<file path=xl/ctrlProps/ctrlProp5.xml><?xml version="1.0" encoding="utf-8"?>
<formControlPr xmlns="http://schemas.microsoft.com/office/spreadsheetml/2009/9/main" objectType="Radio" lockText="1"/>
</file>

<file path=xl/ctrlProps/ctrlProp6.xml><?xml version="1.0" encoding="utf-8"?>
<formControlPr xmlns="http://schemas.microsoft.com/office/spreadsheetml/2009/9/main" objectType="GBox" noThreeD="1"/>
</file>

<file path=xl/ctrlProps/ctrlProp7.xml><?xml version="1.0" encoding="utf-8"?>
<formControlPr xmlns="http://schemas.microsoft.com/office/spreadsheetml/2009/9/main" objectType="Radio" firstButton="1" fmlaLink="'controle de ponto'!$Y$3" lockText="1"/>
</file>

<file path=xl/ctrlProps/ctrlProp8.xml><?xml version="1.0" encoding="utf-8"?>
<formControlPr xmlns="http://schemas.microsoft.com/office/spreadsheetml/2009/9/main" objectType="Radio" checked="Checked" lockText="1"/>
</file>

<file path=xl/ctrlProps/ctrlProp9.xml><?xml version="1.0" encoding="utf-8"?>
<formControlPr xmlns="http://schemas.microsoft.com/office/spreadsheetml/2009/9/main" objectType="Radio" lockText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caltrab.com/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://caltrab.com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://www.caltrab.com/" TargetMode="Externa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http://caltrab.co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2</xdr:col>
      <xdr:colOff>352428</xdr:colOff>
      <xdr:row>4</xdr:row>
      <xdr:rowOff>142878</xdr:rowOff>
    </xdr:to>
    <xdr:sp macro="" textlink="">
      <xdr:nvSpPr>
        <xdr:cNvPr id="3" name="Pentágono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5400000">
          <a:off x="342900" y="-342899"/>
          <a:ext cx="790577" cy="1476378"/>
        </a:xfrm>
        <a:prstGeom prst="homePlate">
          <a:avLst>
            <a:gd name="adj" fmla="val 21582"/>
          </a:avLst>
        </a:prstGeom>
        <a:solidFill>
          <a:schemeClr val="accent1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rIns="0" rtlCol="0" anchor="t"/>
        <a:lstStyle/>
        <a:p>
          <a:endParaRPr lang="pt-BR"/>
        </a:p>
      </xdr:txBody>
    </xdr:sp>
    <xdr:clientData/>
  </xdr:twoCellAnchor>
  <xdr:twoCellAnchor editAs="oneCell">
    <xdr:from>
      <xdr:col>1</xdr:col>
      <xdr:colOff>47625</xdr:colOff>
      <xdr:row>0</xdr:row>
      <xdr:rowOff>104775</xdr:rowOff>
    </xdr:from>
    <xdr:to>
      <xdr:col>2</xdr:col>
      <xdr:colOff>257175</xdr:colOff>
      <xdr:row>3</xdr:row>
      <xdr:rowOff>114300</xdr:rowOff>
    </xdr:to>
    <xdr:pic>
      <xdr:nvPicPr>
        <xdr:cNvPr id="2" name="Imagem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4775" y="104775"/>
          <a:ext cx="127635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285750</xdr:colOff>
          <xdr:row>20</xdr:row>
          <xdr:rowOff>28575</xdr:rowOff>
        </xdr:from>
        <xdr:to>
          <xdr:col>2</xdr:col>
          <xdr:colOff>590550</xdr:colOff>
          <xdr:row>20</xdr:row>
          <xdr:rowOff>180975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0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Súmula 60, do TST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24</xdr:row>
          <xdr:rowOff>19050</xdr:rowOff>
        </xdr:from>
        <xdr:to>
          <xdr:col>2</xdr:col>
          <xdr:colOff>838200</xdr:colOff>
          <xdr:row>30</xdr:row>
          <xdr:rowOff>9525</xdr:rowOff>
        </xdr:to>
        <xdr:sp macro="" textlink="">
          <xdr:nvSpPr>
            <xdr:cNvPr id="7170" name="Group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0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Urbano ou Rural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295275</xdr:colOff>
          <xdr:row>24</xdr:row>
          <xdr:rowOff>171450</xdr:rowOff>
        </xdr:from>
        <xdr:to>
          <xdr:col>2</xdr:col>
          <xdr:colOff>304800</xdr:colOff>
          <xdr:row>26</xdr:row>
          <xdr:rowOff>19050</xdr:rowOff>
        </xdr:to>
        <xdr:sp macro="" textlink="">
          <xdr:nvSpPr>
            <xdr:cNvPr id="7171" name="Option Button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0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Trabalho Urbano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295275</xdr:colOff>
          <xdr:row>26</xdr:row>
          <xdr:rowOff>57150</xdr:rowOff>
        </xdr:from>
        <xdr:to>
          <xdr:col>2</xdr:col>
          <xdr:colOff>304800</xdr:colOff>
          <xdr:row>27</xdr:row>
          <xdr:rowOff>104775</xdr:rowOff>
        </xdr:to>
        <xdr:sp macro="" textlink="">
          <xdr:nvSpPr>
            <xdr:cNvPr id="7172" name="Option Button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0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Trabalho Rural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295275</xdr:colOff>
          <xdr:row>27</xdr:row>
          <xdr:rowOff>133350</xdr:rowOff>
        </xdr:from>
        <xdr:to>
          <xdr:col>2</xdr:col>
          <xdr:colOff>762000</xdr:colOff>
          <xdr:row>29</xdr:row>
          <xdr:rowOff>38100</xdr:rowOff>
        </xdr:to>
        <xdr:sp macro="" textlink="">
          <xdr:nvSpPr>
            <xdr:cNvPr id="7173" name="Option Button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0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Trabalho Urbano sem Red.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12</xdr:row>
          <xdr:rowOff>9525</xdr:rowOff>
        </xdr:from>
        <xdr:to>
          <xdr:col>5</xdr:col>
          <xdr:colOff>838200</xdr:colOff>
          <xdr:row>16</xdr:row>
          <xdr:rowOff>219075</xdr:rowOff>
        </xdr:to>
        <xdr:sp macro="" textlink="">
          <xdr:nvSpPr>
            <xdr:cNvPr id="7174" name="Group Box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00000000-0008-0000-00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Aplicar tolerância no intervalo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12</xdr:row>
          <xdr:rowOff>180975</xdr:rowOff>
        </xdr:from>
        <xdr:to>
          <xdr:col>5</xdr:col>
          <xdr:colOff>209550</xdr:colOff>
          <xdr:row>14</xdr:row>
          <xdr:rowOff>47625</xdr:rowOff>
        </xdr:to>
        <xdr:sp macro="" textlink="">
          <xdr:nvSpPr>
            <xdr:cNvPr id="7175" name="Option Button 7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:a16="http://schemas.microsoft.com/office/drawing/2014/main" id="{00000000-0008-0000-0000-00000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Não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219075</xdr:colOff>
          <xdr:row>13</xdr:row>
          <xdr:rowOff>171450</xdr:rowOff>
        </xdr:from>
        <xdr:to>
          <xdr:col>5</xdr:col>
          <xdr:colOff>323850</xdr:colOff>
          <xdr:row>15</xdr:row>
          <xdr:rowOff>28575</xdr:rowOff>
        </xdr:to>
        <xdr:sp macro="" textlink="">
          <xdr:nvSpPr>
            <xdr:cNvPr id="7176" name="Option Button 8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id="{00000000-0008-0000-00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Sim, 00:05 min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219075</xdr:colOff>
          <xdr:row>15</xdr:row>
          <xdr:rowOff>0</xdr:rowOff>
        </xdr:from>
        <xdr:to>
          <xdr:col>5</xdr:col>
          <xdr:colOff>285750</xdr:colOff>
          <xdr:row>16</xdr:row>
          <xdr:rowOff>9525</xdr:rowOff>
        </xdr:to>
        <xdr:sp macro="" textlink="">
          <xdr:nvSpPr>
            <xdr:cNvPr id="7177" name="Option Button 9" hidden="1">
              <a:extLst>
                <a:ext uri="{63B3BB69-23CF-44E3-9099-C40C66FF867C}">
                  <a14:compatExt spid="_x0000_s7177"/>
                </a:ext>
                <a:ext uri="{FF2B5EF4-FFF2-40B4-BE49-F238E27FC236}">
                  <a16:creationId xmlns:a16="http://schemas.microsoft.com/office/drawing/2014/main" id="{00000000-0008-0000-0000-00000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Sim, 00:10 min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18</xdr:row>
          <xdr:rowOff>19050</xdr:rowOff>
        </xdr:from>
        <xdr:to>
          <xdr:col>5</xdr:col>
          <xdr:colOff>838200</xdr:colOff>
          <xdr:row>22</xdr:row>
          <xdr:rowOff>19050</xdr:rowOff>
        </xdr:to>
        <xdr:sp macro="" textlink="">
          <xdr:nvSpPr>
            <xdr:cNvPr id="7183" name="Group Box 15" hidden="1">
              <a:extLst>
                <a:ext uri="{63B3BB69-23CF-44E3-9099-C40C66FF867C}">
                  <a14:compatExt spid="_x0000_s7183"/>
                </a:ext>
                <a:ext uri="{FF2B5EF4-FFF2-40B4-BE49-F238E27FC236}">
                  <a16:creationId xmlns:a16="http://schemas.microsoft.com/office/drawing/2014/main" id="{00000000-0008-0000-0000-00000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Aplicar tolerância na Jornada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180975</xdr:colOff>
          <xdr:row>19</xdr:row>
          <xdr:rowOff>28575</xdr:rowOff>
        </xdr:from>
        <xdr:to>
          <xdr:col>5</xdr:col>
          <xdr:colOff>485775</xdr:colOff>
          <xdr:row>20</xdr:row>
          <xdr:rowOff>47625</xdr:rowOff>
        </xdr:to>
        <xdr:sp macro="" textlink="">
          <xdr:nvSpPr>
            <xdr:cNvPr id="7184" name="Option Button 16" hidden="1">
              <a:extLst>
                <a:ext uri="{63B3BB69-23CF-44E3-9099-C40C66FF867C}">
                  <a14:compatExt spid="_x0000_s7184"/>
                </a:ext>
                <a:ext uri="{FF2B5EF4-FFF2-40B4-BE49-F238E27FC236}">
                  <a16:creationId xmlns:a16="http://schemas.microsoft.com/office/drawing/2014/main" id="{00000000-0008-0000-0000-00001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Não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171450</xdr:colOff>
          <xdr:row>20</xdr:row>
          <xdr:rowOff>19050</xdr:rowOff>
        </xdr:from>
        <xdr:to>
          <xdr:col>5</xdr:col>
          <xdr:colOff>476250</xdr:colOff>
          <xdr:row>21</xdr:row>
          <xdr:rowOff>19050</xdr:rowOff>
        </xdr:to>
        <xdr:sp macro="" textlink="">
          <xdr:nvSpPr>
            <xdr:cNvPr id="7185" name="Option Button 17" hidden="1">
              <a:extLst>
                <a:ext uri="{63B3BB69-23CF-44E3-9099-C40C66FF867C}">
                  <a14:compatExt spid="_x0000_s7185"/>
                </a:ext>
                <a:ext uri="{FF2B5EF4-FFF2-40B4-BE49-F238E27FC236}">
                  <a16:creationId xmlns:a16="http://schemas.microsoft.com/office/drawing/2014/main" id="{00000000-0008-0000-0000-00001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Sim, 00:10 min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6</xdr:row>
          <xdr:rowOff>9525</xdr:rowOff>
        </xdr:from>
        <xdr:to>
          <xdr:col>7</xdr:col>
          <xdr:colOff>1028700</xdr:colOff>
          <xdr:row>8</xdr:row>
          <xdr:rowOff>19050</xdr:rowOff>
        </xdr:to>
        <xdr:sp macro="" textlink="">
          <xdr:nvSpPr>
            <xdr:cNvPr id="7186" name="Spinner 18" hidden="1">
              <a:extLst>
                <a:ext uri="{63B3BB69-23CF-44E3-9099-C40C66FF867C}">
                  <a14:compatExt spid="_x0000_s7186"/>
                </a:ext>
                <a:ext uri="{FF2B5EF4-FFF2-40B4-BE49-F238E27FC236}">
                  <a16:creationId xmlns:a16="http://schemas.microsoft.com/office/drawing/2014/main" id="{00000000-0008-0000-0000-00001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9525</xdr:colOff>
          <xdr:row>6</xdr:row>
          <xdr:rowOff>19050</xdr:rowOff>
        </xdr:from>
        <xdr:to>
          <xdr:col>8</xdr:col>
          <xdr:colOff>1038225</xdr:colOff>
          <xdr:row>8</xdr:row>
          <xdr:rowOff>28575</xdr:rowOff>
        </xdr:to>
        <xdr:sp macro="" textlink="">
          <xdr:nvSpPr>
            <xdr:cNvPr id="7187" name="Spinner 19" hidden="1">
              <a:extLst>
                <a:ext uri="{63B3BB69-23CF-44E3-9099-C40C66FF867C}">
                  <a14:compatExt spid="_x0000_s7187"/>
                </a:ext>
                <a:ext uri="{FF2B5EF4-FFF2-40B4-BE49-F238E27FC236}">
                  <a16:creationId xmlns:a16="http://schemas.microsoft.com/office/drawing/2014/main" id="{00000000-0008-0000-0000-00001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</xdr:colOff>
          <xdr:row>6</xdr:row>
          <xdr:rowOff>9525</xdr:rowOff>
        </xdr:from>
        <xdr:to>
          <xdr:col>10</xdr:col>
          <xdr:colOff>0</xdr:colOff>
          <xdr:row>8</xdr:row>
          <xdr:rowOff>19050</xdr:rowOff>
        </xdr:to>
        <xdr:sp macro="" textlink="">
          <xdr:nvSpPr>
            <xdr:cNvPr id="7188" name="Spinner 20" hidden="1">
              <a:extLst>
                <a:ext uri="{63B3BB69-23CF-44E3-9099-C40C66FF867C}">
                  <a14:compatExt spid="_x0000_s7188"/>
                </a:ext>
                <a:ext uri="{FF2B5EF4-FFF2-40B4-BE49-F238E27FC236}">
                  <a16:creationId xmlns:a16="http://schemas.microsoft.com/office/drawing/2014/main" id="{00000000-0008-0000-0000-00001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9530</xdr:colOff>
      <xdr:row>0</xdr:row>
      <xdr:rowOff>19050</xdr:rowOff>
    </xdr:from>
    <xdr:to>
      <xdr:col>2</xdr:col>
      <xdr:colOff>504832</xdr:colOff>
      <xdr:row>4</xdr:row>
      <xdr:rowOff>47627</xdr:rowOff>
    </xdr:to>
    <xdr:sp macro="" textlink="">
      <xdr:nvSpPr>
        <xdr:cNvPr id="2" name="Pentágon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 rot="5400000">
          <a:off x="381005" y="-352425"/>
          <a:ext cx="790577" cy="1533527"/>
        </a:xfrm>
        <a:prstGeom prst="homePlate">
          <a:avLst>
            <a:gd name="adj" fmla="val 21582"/>
          </a:avLst>
        </a:prstGeom>
        <a:solidFill>
          <a:schemeClr val="accent1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rIns="0" rtlCol="0" anchor="t"/>
        <a:lstStyle/>
        <a:p>
          <a:endParaRPr lang="pt-BR"/>
        </a:p>
      </xdr:txBody>
    </xdr:sp>
    <xdr:clientData/>
  </xdr:twoCellAnchor>
  <xdr:twoCellAnchor>
    <xdr:from>
      <xdr:col>0</xdr:col>
      <xdr:colOff>85725</xdr:colOff>
      <xdr:row>0</xdr:row>
      <xdr:rowOff>104775</xdr:rowOff>
    </xdr:from>
    <xdr:to>
      <xdr:col>2</xdr:col>
      <xdr:colOff>323850</xdr:colOff>
      <xdr:row>3</xdr:row>
      <xdr:rowOff>28575</xdr:rowOff>
    </xdr:to>
    <xdr:pic>
      <xdr:nvPicPr>
        <xdr:cNvPr id="3" name="Imagem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5725" y="104775"/>
          <a:ext cx="127635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219075</xdr:colOff>
      <xdr:row>0</xdr:row>
      <xdr:rowOff>142875</xdr:rowOff>
    </xdr:from>
    <xdr:to>
      <xdr:col>19</xdr:col>
      <xdr:colOff>704850</xdr:colOff>
      <xdr:row>2</xdr:row>
      <xdr:rowOff>26459</xdr:rowOff>
    </xdr:to>
    <xdr:sp macro="" textlink="">
      <xdr:nvSpPr>
        <xdr:cNvPr id="4" name="Rounded Rectangle 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9944100" y="142875"/>
          <a:ext cx="1238250" cy="264584"/>
        </a:xfrm>
        <a:prstGeom prst="roundRect">
          <a:avLst>
            <a:gd name="adj" fmla="val 50000"/>
          </a:avLst>
        </a:prstGeom>
        <a:effectLst>
          <a:outerShdw blurRad="63500" sx="101000" sy="101000" algn="ctr" rotWithShape="0">
            <a:schemeClr val="tx1">
              <a:lumMod val="75000"/>
              <a:lumOff val="25000"/>
              <a:alpha val="40000"/>
            </a:schemeClr>
          </a:outerShdw>
        </a:effectLst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en-US" sz="1000">
              <a:effectLst>
                <a:outerShdw blurRad="50800" dist="38100" dir="5400000" algn="t" rotWithShape="0">
                  <a:schemeClr val="bg1">
                    <a:alpha val="40000"/>
                  </a:schemeClr>
                </a:outerShdw>
              </a:effectLst>
            </a:rPr>
            <a:t>Visite</a:t>
          </a:r>
          <a:r>
            <a:rPr lang="en-US" sz="1000" baseline="0">
              <a:effectLst>
                <a:outerShdw blurRad="50800" dist="38100" dir="5400000" algn="t" rotWithShape="0">
                  <a:schemeClr val="bg1">
                    <a:alpha val="40000"/>
                  </a:schemeClr>
                </a:outerShdw>
              </a:effectLst>
            </a:rPr>
            <a:t> caltrab.com</a:t>
          </a:r>
          <a:endParaRPr lang="en-US" sz="1000">
            <a:effectLst>
              <a:outerShdw blurRad="50800" dist="38100" dir="5400000" algn="t" rotWithShape="0">
                <a:schemeClr val="bg1">
                  <a:alpha val="40000"/>
                </a:schemeClr>
              </a:outerShdw>
            </a:effectLst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4</xdr:row>
      <xdr:rowOff>0</xdr:rowOff>
    </xdr:from>
    <xdr:to>
      <xdr:col>11</xdr:col>
      <xdr:colOff>523875</xdr:colOff>
      <xdr:row>11</xdr:row>
      <xdr:rowOff>123825</xdr:rowOff>
    </xdr:to>
    <xdr:sp macro="" textlink="">
      <xdr:nvSpPr>
        <xdr:cNvPr id="2" name="Texto explicativo retangular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4829175" y="742950"/>
          <a:ext cx="3781425" cy="1685925"/>
        </a:xfrm>
        <a:prstGeom prst="wedgeRectCallout">
          <a:avLst>
            <a:gd name="adj1" fmla="val -24326"/>
            <a:gd name="adj2" fmla="val 8735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100"/>
            <a:t>Para que</a:t>
          </a:r>
          <a:r>
            <a:rPr lang="pt-BR" sz="1100" baseline="0"/>
            <a:t> a planilha não considere o feriado, basta deletar o "X"  na célula correspondente da coluna B.</a:t>
          </a:r>
        </a:p>
        <a:p>
          <a:pPr algn="l"/>
          <a:endParaRPr lang="pt-BR" sz="1100" baseline="0"/>
        </a:p>
        <a:p>
          <a:pPr algn="l"/>
          <a:r>
            <a:rPr lang="pt-BR" sz="1100" baseline="0"/>
            <a:t>Quanto aos feriados fixos municipais e estadual, digite x na coluna B , informe o dia na coluna E e o mês na coluna F. Caso o "x" não esteja marcado, os valores selecionados em E16, E17, E18, E19, F16, F17, F18 e F19 não irão interferir no cálculo dos feriados.</a:t>
          </a:r>
          <a:endParaRPr lang="pt-BR" sz="1100"/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7</xdr:col>
      <xdr:colOff>409575</xdr:colOff>
      <xdr:row>2</xdr:row>
      <xdr:rowOff>16934</xdr:rowOff>
    </xdr:to>
    <xdr:sp macro="" textlink="">
      <xdr:nvSpPr>
        <xdr:cNvPr id="3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4819650" y="247650"/>
          <a:ext cx="1238250" cy="264584"/>
        </a:xfrm>
        <a:prstGeom prst="roundRect">
          <a:avLst>
            <a:gd name="adj" fmla="val 50000"/>
          </a:avLst>
        </a:prstGeom>
        <a:effectLst>
          <a:outerShdw blurRad="63500" sx="101000" sy="101000" algn="ctr" rotWithShape="0">
            <a:schemeClr val="tx1">
              <a:lumMod val="75000"/>
              <a:lumOff val="25000"/>
              <a:alpha val="40000"/>
            </a:schemeClr>
          </a:outerShdw>
        </a:effectLst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en-US" sz="1000">
              <a:effectLst>
                <a:outerShdw blurRad="50800" dist="38100" dir="5400000" algn="t" rotWithShape="0">
                  <a:schemeClr val="bg1">
                    <a:alpha val="40000"/>
                  </a:schemeClr>
                </a:outerShdw>
              </a:effectLst>
            </a:rPr>
            <a:t>Visite</a:t>
          </a:r>
          <a:r>
            <a:rPr lang="en-US" sz="1000" baseline="0">
              <a:effectLst>
                <a:outerShdw blurRad="50800" dist="38100" dir="5400000" algn="t" rotWithShape="0">
                  <a:schemeClr val="bg1">
                    <a:alpha val="40000"/>
                  </a:schemeClr>
                </a:outerShdw>
              </a:effectLst>
            </a:rPr>
            <a:t> caltrab.com</a:t>
          </a:r>
          <a:endParaRPr lang="en-US" sz="1000">
            <a:effectLst>
              <a:outerShdw blurRad="50800" dist="38100" dir="5400000" algn="t" rotWithShape="0">
                <a:schemeClr val="bg1">
                  <a:alpha val="40000"/>
                </a:schemeClr>
              </a:outerShdw>
            </a:effectLst>
          </a:endParaRP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Gilberto Braga" id="{C50A7035-5AA1-4F8A-BFE8-83D2EAD122FA}" userId="8bd918134c21c4fd" providerId="Windows Live"/>
</personList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7" dT="2026-07-14T01:03:50.21" personId="{C50A7035-5AA1-4F8A-BFE8-83D2EAD122FA}" id="{3ECF4230-9918-47FD-9CF4-E6A70D444F28}">
    <text>Digite a hora SEM dois-pontos: 800 = 08:00 | 1330 = 13:30 | 45 = 00:45. A conversão é feita por fórmula nas colunas agrupadas I:L (não é mais necessária a macro).</text>
  </threadedComment>
</ThreadedComments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4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11B19A8D-FC38-468E-B03A-E2C9BAFF782D}">
  <we:reference id="wa200009404" version="1.0.0.8" store="pt-BR" storeType="OMEX"/>
  <we:alternateReferences>
    <we:reference id="WA200009404" version="1.0.0.8" store="" storeType="OMEX"/>
  </we:alternateReferences>
  <we:properties>
    <we:property name="claude.fileId" value="&quot;3e285562-70e0-40c8-9a04-c1a660ce7138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.xml"/><Relationship Id="rId13" Type="http://schemas.openxmlformats.org/officeDocument/2006/relationships/ctrlProp" Target="../ctrlProps/ctrlProp11.xml"/><Relationship Id="rId18" Type="http://schemas.openxmlformats.org/officeDocument/2006/relationships/comments" Target="../comments1.xml"/><Relationship Id="rId3" Type="http://schemas.openxmlformats.org/officeDocument/2006/relationships/ctrlProp" Target="../ctrlProps/ctrlProp1.xml"/><Relationship Id="rId7" Type="http://schemas.openxmlformats.org/officeDocument/2006/relationships/ctrlProp" Target="../ctrlProps/ctrlProp5.xml"/><Relationship Id="rId12" Type="http://schemas.openxmlformats.org/officeDocument/2006/relationships/ctrlProp" Target="../ctrlProps/ctrlProp10.xml"/><Relationship Id="rId17" Type="http://schemas.openxmlformats.org/officeDocument/2006/relationships/ctrlProp" Target="../ctrlProps/ctrlProp15.xml"/><Relationship Id="rId2" Type="http://schemas.openxmlformats.org/officeDocument/2006/relationships/vmlDrawing" Target="../drawings/vmlDrawing1.vml"/><Relationship Id="rId16" Type="http://schemas.openxmlformats.org/officeDocument/2006/relationships/ctrlProp" Target="../ctrlProps/ctrlProp14.x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11" Type="http://schemas.openxmlformats.org/officeDocument/2006/relationships/ctrlProp" Target="../ctrlProps/ctrlProp9.xml"/><Relationship Id="rId5" Type="http://schemas.openxmlformats.org/officeDocument/2006/relationships/ctrlProp" Target="../ctrlProps/ctrlProp3.xml"/><Relationship Id="rId15" Type="http://schemas.openxmlformats.org/officeDocument/2006/relationships/ctrlProp" Target="../ctrlProps/ctrlProp13.xml"/><Relationship Id="rId10" Type="http://schemas.openxmlformats.org/officeDocument/2006/relationships/ctrlProp" Target="../ctrlProps/ctrlProp8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Relationship Id="rId14" Type="http://schemas.openxmlformats.org/officeDocument/2006/relationships/ctrlProp" Target="../ctrlProps/ctrlProp1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64CA4-68EE-4D06-87E6-BDF52C6F2539}">
  <sheetPr codeName="Planilha1">
    <tabColor rgb="FFFFC000"/>
  </sheetPr>
  <dimension ref="A1:BY126"/>
  <sheetViews>
    <sheetView showGridLines="0" workbookViewId="0">
      <selection activeCell="D3" sqref="D3"/>
    </sheetView>
  </sheetViews>
  <sheetFormatPr defaultRowHeight="12.75" x14ac:dyDescent="0.2"/>
  <cols>
    <col min="1" max="1" width="0.85546875" customWidth="1"/>
    <col min="2" max="2" width="16" customWidth="1"/>
    <col min="3" max="3" width="12.7109375" customWidth="1"/>
    <col min="5" max="5" width="16" customWidth="1"/>
    <col min="6" max="6" width="12.7109375" customWidth="1"/>
    <col min="8" max="10" width="15.7109375" customWidth="1"/>
    <col min="11" max="11" width="11.85546875" customWidth="1"/>
  </cols>
  <sheetData>
    <row r="1" spans="1:77" x14ac:dyDescent="0.2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  <c r="BM1" s="55"/>
      <c r="BN1" s="55"/>
      <c r="BO1" s="55"/>
      <c r="BP1" s="55"/>
      <c r="BQ1" s="55"/>
      <c r="BR1" s="55"/>
      <c r="BS1" s="55"/>
      <c r="BT1" s="55"/>
      <c r="BU1" s="55"/>
      <c r="BV1" s="55"/>
      <c r="BW1" s="55"/>
      <c r="BX1" s="55"/>
      <c r="BY1" s="55"/>
    </row>
    <row r="2" spans="1:77" x14ac:dyDescent="0.2"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55"/>
      <c r="BO2" s="55"/>
      <c r="BP2" s="55"/>
      <c r="BQ2" s="55"/>
      <c r="BR2" s="55"/>
      <c r="BS2" s="55"/>
      <c r="BT2" s="55"/>
      <c r="BU2" s="55"/>
      <c r="BV2" s="55"/>
      <c r="BW2" s="55"/>
      <c r="BX2" s="55"/>
      <c r="BY2" s="55"/>
    </row>
    <row r="3" spans="1:77" x14ac:dyDescent="0.2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</row>
    <row r="4" spans="1:77" x14ac:dyDescent="0.2"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</row>
    <row r="5" spans="1:77" ht="13.5" thickBot="1" x14ac:dyDescent="0.25"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</row>
    <row r="6" spans="1:77" ht="20.100000000000001" customHeight="1" thickBot="1" x14ac:dyDescent="0.25">
      <c r="B6" s="268" t="s">
        <v>10</v>
      </c>
      <c r="C6" s="269"/>
      <c r="D6" s="55"/>
      <c r="E6" s="268" t="s">
        <v>20</v>
      </c>
      <c r="F6" s="269"/>
      <c r="G6" s="55"/>
      <c r="H6" s="183" t="s">
        <v>96</v>
      </c>
      <c r="I6" s="184" t="s">
        <v>97</v>
      </c>
      <c r="J6" s="185" t="s">
        <v>98</v>
      </c>
      <c r="K6" s="263" t="s">
        <v>86</v>
      </c>
      <c r="L6" s="264"/>
      <c r="M6" s="26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55"/>
      <c r="BO6" s="55"/>
      <c r="BP6" s="55"/>
      <c r="BQ6" s="55"/>
      <c r="BR6" s="55"/>
      <c r="BS6" s="55"/>
      <c r="BT6" s="55"/>
      <c r="BU6" s="55"/>
      <c r="BV6" s="55"/>
      <c r="BW6" s="55"/>
      <c r="BX6" s="55"/>
      <c r="BY6" s="55"/>
    </row>
    <row r="7" spans="1:77" ht="18" customHeight="1" thickBot="1" x14ac:dyDescent="0.25">
      <c r="B7" s="142" t="s">
        <v>61</v>
      </c>
      <c r="C7" s="143" t="s">
        <v>62</v>
      </c>
      <c r="D7" s="55"/>
      <c r="E7" s="206" t="s">
        <v>116</v>
      </c>
      <c r="F7" s="209"/>
      <c r="G7" s="55"/>
      <c r="H7" s="171"/>
      <c r="I7" s="172"/>
      <c r="J7" s="173"/>
      <c r="K7" s="186" t="s">
        <v>80</v>
      </c>
      <c r="L7" s="187" t="s">
        <v>81</v>
      </c>
      <c r="M7" s="188">
        <v>220</v>
      </c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M7" s="55"/>
      <c r="BN7" s="55"/>
      <c r="BO7" s="55"/>
      <c r="BP7" s="55"/>
      <c r="BQ7" s="55"/>
      <c r="BR7" s="55"/>
      <c r="BS7" s="55"/>
      <c r="BT7" s="55"/>
      <c r="BU7" s="55"/>
      <c r="BV7" s="55"/>
      <c r="BW7" s="55"/>
      <c r="BX7" s="55"/>
      <c r="BY7" s="55"/>
    </row>
    <row r="8" spans="1:77" ht="15.95" customHeight="1" x14ac:dyDescent="0.2">
      <c r="A8">
        <v>1</v>
      </c>
      <c r="B8" s="147" t="s">
        <v>89</v>
      </c>
      <c r="C8" s="150">
        <v>0</v>
      </c>
      <c r="D8" s="55"/>
      <c r="E8" s="207" t="s">
        <v>93</v>
      </c>
      <c r="F8" s="210">
        <v>2026</v>
      </c>
      <c r="G8" s="55"/>
      <c r="H8" s="171"/>
      <c r="I8" s="172"/>
      <c r="J8" s="173"/>
      <c r="K8" s="189" t="s">
        <v>82</v>
      </c>
      <c r="L8" s="190" t="s">
        <v>81</v>
      </c>
      <c r="M8" s="191">
        <v>200</v>
      </c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5"/>
      <c r="BD8" s="55"/>
      <c r="BE8" s="55"/>
      <c r="BF8" s="55"/>
      <c r="BG8" s="55"/>
      <c r="BH8" s="55"/>
      <c r="BI8" s="55"/>
      <c r="BJ8" s="55"/>
      <c r="BK8" s="55"/>
      <c r="BL8" s="55"/>
      <c r="BM8" s="55"/>
      <c r="BN8" s="55"/>
      <c r="BO8" s="55"/>
      <c r="BP8" s="55"/>
      <c r="BQ8" s="55"/>
      <c r="BR8" s="55"/>
      <c r="BS8" s="55"/>
      <c r="BT8" s="55"/>
      <c r="BU8" s="55"/>
      <c r="BV8" s="55"/>
      <c r="BW8" s="55"/>
      <c r="BX8" s="55"/>
      <c r="BY8" s="55"/>
    </row>
    <row r="9" spans="1:77" ht="15.95" customHeight="1" thickBot="1" x14ac:dyDescent="0.25">
      <c r="A9">
        <v>2</v>
      </c>
      <c r="B9" s="149" t="s">
        <v>11</v>
      </c>
      <c r="C9" s="151">
        <v>0.33333333333333331</v>
      </c>
      <c r="D9" s="55"/>
      <c r="E9" s="208" t="s">
        <v>94</v>
      </c>
      <c r="F9" s="211">
        <v>7</v>
      </c>
      <c r="G9" s="55"/>
      <c r="H9" s="174">
        <v>50</v>
      </c>
      <c r="I9" s="175">
        <v>20</v>
      </c>
      <c r="J9" s="176">
        <v>50</v>
      </c>
      <c r="K9" s="189" t="s">
        <v>83</v>
      </c>
      <c r="L9" s="190" t="s">
        <v>81</v>
      </c>
      <c r="M9" s="191">
        <v>180</v>
      </c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55"/>
      <c r="BS9" s="55"/>
      <c r="BT9" s="55"/>
      <c r="BU9" s="55"/>
      <c r="BV9" s="55"/>
      <c r="BW9" s="55"/>
      <c r="BX9" s="55"/>
      <c r="BY9" s="55"/>
    </row>
    <row r="10" spans="1:77" ht="15.95" customHeight="1" thickBot="1" x14ac:dyDescent="0.25">
      <c r="A10">
        <v>3</v>
      </c>
      <c r="B10" s="149" t="s">
        <v>12</v>
      </c>
      <c r="C10" s="151">
        <v>0.33333333333333331</v>
      </c>
      <c r="D10" s="55"/>
      <c r="E10" s="55"/>
      <c r="F10" s="55"/>
      <c r="G10" s="55"/>
      <c r="H10" s="177" t="s">
        <v>99</v>
      </c>
      <c r="I10" s="178" t="s">
        <v>100</v>
      </c>
      <c r="J10" s="179" t="s">
        <v>101</v>
      </c>
      <c r="K10" s="189" t="s">
        <v>84</v>
      </c>
      <c r="L10" s="190" t="s">
        <v>81</v>
      </c>
      <c r="M10" s="191">
        <v>150</v>
      </c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55"/>
      <c r="AO10" s="55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55"/>
      <c r="BO10" s="55"/>
      <c r="BP10" s="55"/>
      <c r="BQ10" s="55"/>
      <c r="BR10" s="55"/>
      <c r="BS10" s="55"/>
      <c r="BT10" s="55"/>
      <c r="BU10" s="55"/>
      <c r="BV10" s="55"/>
      <c r="BW10" s="55"/>
      <c r="BX10" s="55"/>
      <c r="BY10" s="55"/>
    </row>
    <row r="11" spans="1:77" ht="15.95" customHeight="1" thickBot="1" x14ac:dyDescent="0.25">
      <c r="A11">
        <v>4</v>
      </c>
      <c r="B11" s="149" t="s">
        <v>13</v>
      </c>
      <c r="C11" s="151">
        <v>0.33333333333333331</v>
      </c>
      <c r="D11" s="55"/>
      <c r="E11" s="268" t="s">
        <v>95</v>
      </c>
      <c r="F11" s="269"/>
      <c r="G11" s="55"/>
      <c r="H11" s="180">
        <f>(1+(H9/100))</f>
        <v>1.5</v>
      </c>
      <c r="I11" s="181">
        <f>I9/100</f>
        <v>0.2</v>
      </c>
      <c r="J11" s="182">
        <f>(1+(J9/100))</f>
        <v>1.5</v>
      </c>
      <c r="K11" s="192" t="s">
        <v>85</v>
      </c>
      <c r="L11" s="193" t="s">
        <v>81</v>
      </c>
      <c r="M11" s="194">
        <v>120</v>
      </c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5"/>
      <c r="BG11" s="55"/>
      <c r="BH11" s="55"/>
      <c r="BI11" s="55"/>
      <c r="BJ11" s="55"/>
      <c r="BK11" s="55"/>
      <c r="BL11" s="55"/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</row>
    <row r="12" spans="1:77" ht="15.95" customHeight="1" thickBot="1" x14ac:dyDescent="0.25">
      <c r="A12">
        <v>5</v>
      </c>
      <c r="B12" s="149" t="s">
        <v>14</v>
      </c>
      <c r="C12" s="151">
        <v>0.33333333333333331</v>
      </c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55"/>
      <c r="BG12" s="55"/>
      <c r="BH12" s="55"/>
      <c r="BI12" s="55"/>
      <c r="BJ12" s="55"/>
      <c r="BK12" s="55"/>
      <c r="BL12" s="55"/>
      <c r="BM12" s="55"/>
      <c r="BN12" s="55"/>
      <c r="BO12" s="55"/>
      <c r="BP12" s="55"/>
      <c r="BQ12" s="55"/>
      <c r="BR12" s="55"/>
      <c r="BS12" s="55"/>
      <c r="BT12" s="55"/>
      <c r="BU12" s="55"/>
      <c r="BV12" s="55"/>
      <c r="BW12" s="55"/>
      <c r="BX12" s="55"/>
      <c r="BY12" s="55"/>
    </row>
    <row r="13" spans="1:77" ht="15.95" customHeight="1" x14ac:dyDescent="0.2">
      <c r="A13">
        <v>6</v>
      </c>
      <c r="B13" s="149" t="s">
        <v>15</v>
      </c>
      <c r="C13" s="151">
        <v>0.33333333333333331</v>
      </c>
      <c r="D13" s="55"/>
      <c r="E13" s="160"/>
      <c r="F13" s="160"/>
      <c r="G13" s="55"/>
      <c r="H13" s="266" t="s">
        <v>102</v>
      </c>
      <c r="I13" s="267"/>
      <c r="J13" s="267"/>
      <c r="K13" s="195">
        <f>DATE(ano_cp,mes_cp,1)</f>
        <v>46204</v>
      </c>
      <c r="L13" s="196"/>
      <c r="M13" s="197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5"/>
      <c r="BE13" s="55"/>
      <c r="BF13" s="55"/>
      <c r="BG13" s="55"/>
      <c r="BH13" s="55"/>
      <c r="BI13" s="55"/>
      <c r="BJ13" s="55"/>
      <c r="BK13" s="55"/>
      <c r="BL13" s="55"/>
      <c r="BM13" s="55"/>
      <c r="BN13" s="55"/>
      <c r="BO13" s="55"/>
      <c r="BP13" s="55"/>
      <c r="BQ13" s="55"/>
      <c r="BR13" s="55"/>
      <c r="BS13" s="55"/>
      <c r="BT13" s="55"/>
      <c r="BU13" s="55"/>
      <c r="BV13" s="55"/>
      <c r="BW13" s="55"/>
      <c r="BX13" s="55"/>
      <c r="BY13" s="55"/>
    </row>
    <row r="14" spans="1:77" ht="15.95" customHeight="1" x14ac:dyDescent="0.2">
      <c r="A14">
        <v>7</v>
      </c>
      <c r="B14" s="149" t="s">
        <v>16</v>
      </c>
      <c r="C14" s="151">
        <v>0.16666666666666666</v>
      </c>
      <c r="D14" s="55"/>
      <c r="E14" s="160"/>
      <c r="F14" s="160"/>
      <c r="G14" s="55"/>
      <c r="H14" s="259" t="s">
        <v>103</v>
      </c>
      <c r="I14" s="260"/>
      <c r="J14" s="260"/>
      <c r="K14" s="198">
        <f ca="1">dias_úteis</f>
        <v>27</v>
      </c>
      <c r="L14" s="199"/>
      <c r="M14" s="200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55"/>
      <c r="BJ14" s="55"/>
      <c r="BK14" s="55"/>
      <c r="BL14" s="55"/>
      <c r="BM14" s="55"/>
      <c r="BN14" s="55"/>
      <c r="BO14" s="55"/>
      <c r="BP14" s="55"/>
      <c r="BQ14" s="55"/>
      <c r="BR14" s="55"/>
      <c r="BS14" s="55"/>
      <c r="BT14" s="55"/>
      <c r="BU14" s="55"/>
      <c r="BV14" s="55"/>
      <c r="BW14" s="55"/>
      <c r="BX14" s="55"/>
      <c r="BY14" s="55"/>
    </row>
    <row r="15" spans="1:77" ht="15.95" customHeight="1" x14ac:dyDescent="0.2">
      <c r="A15">
        <v>8</v>
      </c>
      <c r="B15" s="148" t="s">
        <v>118</v>
      </c>
      <c r="C15" s="152">
        <v>0</v>
      </c>
      <c r="D15" s="55"/>
      <c r="E15" s="160"/>
      <c r="F15" s="160"/>
      <c r="G15" s="55"/>
      <c r="H15" s="259" t="s">
        <v>104</v>
      </c>
      <c r="I15" s="260"/>
      <c r="J15" s="260"/>
      <c r="K15" s="198">
        <f ca="1">repousos</f>
        <v>4</v>
      </c>
      <c r="L15" s="199"/>
      <c r="M15" s="200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5"/>
      <c r="BE15" s="55"/>
      <c r="BF15" s="55"/>
      <c r="BG15" s="55"/>
      <c r="BH15" s="55"/>
      <c r="BI15" s="55"/>
      <c r="BJ15" s="55"/>
      <c r="BK15" s="55"/>
      <c r="BL15" s="55"/>
      <c r="BM15" s="55"/>
      <c r="BN15" s="55"/>
      <c r="BO15" s="55"/>
      <c r="BP15" s="55"/>
      <c r="BQ15" s="55"/>
      <c r="BR15" s="55"/>
      <c r="BS15" s="55"/>
      <c r="BT15" s="55"/>
      <c r="BU15" s="55"/>
      <c r="BV15" s="55"/>
      <c r="BW15" s="55"/>
      <c r="BX15" s="55"/>
      <c r="BY15" s="55"/>
    </row>
    <row r="16" spans="1:77" ht="15.95" customHeight="1" thickBot="1" x14ac:dyDescent="0.25">
      <c r="B16" s="146" t="s">
        <v>2</v>
      </c>
      <c r="C16" s="153">
        <v>0</v>
      </c>
      <c r="D16" s="55"/>
      <c r="E16" s="160"/>
      <c r="F16" s="160"/>
      <c r="G16" s="55"/>
      <c r="H16" s="259" t="s">
        <v>105</v>
      </c>
      <c r="I16" s="260"/>
      <c r="J16" s="260"/>
      <c r="K16" s="201" t="str">
        <f>CONCATENATE(TEXT(início,"dd/mmm/aaaa")&amp;"  a  "&amp;TEXT(fim,"dd/mmm/aaaa"))</f>
        <v>01/jul/2026  a  31/jul/2026</v>
      </c>
      <c r="L16" s="199"/>
      <c r="M16" s="200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  <c r="BD16" s="55"/>
      <c r="BE16" s="55"/>
      <c r="BF16" s="55"/>
      <c r="BG16" s="55"/>
      <c r="BH16" s="55"/>
      <c r="BI16" s="55"/>
      <c r="BJ16" s="55"/>
      <c r="BK16" s="55"/>
      <c r="BL16" s="55"/>
      <c r="BM16" s="55"/>
      <c r="BN16" s="55"/>
      <c r="BO16" s="55"/>
      <c r="BP16" s="55"/>
      <c r="BQ16" s="55"/>
      <c r="BR16" s="55"/>
      <c r="BS16" s="55"/>
      <c r="BT16" s="55"/>
      <c r="BU16" s="55"/>
      <c r="BV16" s="55"/>
      <c r="BW16" s="55"/>
      <c r="BX16" s="55"/>
      <c r="BY16" s="55"/>
    </row>
    <row r="17" spans="2:77" ht="18" customHeight="1" thickBot="1" x14ac:dyDescent="0.25">
      <c r="B17" s="268" t="s">
        <v>17</v>
      </c>
      <c r="C17" s="269"/>
      <c r="D17" s="55"/>
      <c r="E17" s="160"/>
      <c r="F17" s="160"/>
      <c r="G17" s="55"/>
      <c r="H17" s="259" t="s">
        <v>110</v>
      </c>
      <c r="I17" s="260"/>
      <c r="J17" s="260"/>
      <c r="K17" s="202" t="str">
        <f>IF(trab_=1,"Urbano",IF(trab_=2,"Rural","Trabalho Urbano sem Reduçao das Horas Noturnas"))</f>
        <v>Urbano</v>
      </c>
      <c r="L17" s="199"/>
      <c r="M17" s="200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  <c r="BC17" s="55"/>
      <c r="BD17" s="55"/>
      <c r="BE17" s="55"/>
      <c r="BF17" s="55"/>
      <c r="BG17" s="55"/>
      <c r="BH17" s="55"/>
      <c r="BI17" s="55"/>
      <c r="BJ17" s="55"/>
      <c r="BK17" s="55"/>
      <c r="BL17" s="55"/>
      <c r="BM17" s="55"/>
      <c r="BN17" s="55"/>
      <c r="BO17" s="55"/>
      <c r="BP17" s="55"/>
      <c r="BQ17" s="55"/>
      <c r="BR17" s="55"/>
      <c r="BS17" s="55"/>
      <c r="BT17" s="55"/>
      <c r="BU17" s="55"/>
      <c r="BV17" s="55"/>
      <c r="BW17" s="55"/>
      <c r="BX17" s="55"/>
      <c r="BY17" s="55"/>
    </row>
    <row r="18" spans="2:77" ht="15.95" customHeight="1" x14ac:dyDescent="0.2">
      <c r="B18" s="158" t="s">
        <v>33</v>
      </c>
      <c r="C18" s="154">
        <v>0.91666666666666663</v>
      </c>
      <c r="D18" s="55"/>
      <c r="E18" s="55"/>
      <c r="F18" s="55"/>
      <c r="G18" s="55"/>
      <c r="H18" s="259" t="s">
        <v>111</v>
      </c>
      <c r="I18" s="260"/>
      <c r="J18" s="260"/>
      <c r="K18" s="201" t="str">
        <f>IF(sum_60=TRUE,"Sim","Não")</f>
        <v>Sim</v>
      </c>
      <c r="L18" s="199"/>
      <c r="M18" s="200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5"/>
      <c r="BR18" s="55"/>
      <c r="BS18" s="55"/>
      <c r="BT18" s="55"/>
      <c r="BU18" s="55"/>
      <c r="BV18" s="55"/>
      <c r="BW18" s="55"/>
      <c r="BX18" s="55"/>
      <c r="BY18" s="55"/>
    </row>
    <row r="19" spans="2:77" ht="15.95" customHeight="1" x14ac:dyDescent="0.2">
      <c r="B19" s="159" t="s">
        <v>90</v>
      </c>
      <c r="C19" s="155">
        <v>0.20833333333333334</v>
      </c>
      <c r="D19" s="55"/>
      <c r="E19" s="160"/>
      <c r="F19" s="160"/>
      <c r="G19" s="55"/>
      <c r="H19" s="259" t="s">
        <v>106</v>
      </c>
      <c r="I19" s="260"/>
      <c r="J19" s="260"/>
      <c r="K19" s="201" t="str">
        <f>IF(intra_t=1,"Não",IF(intra_t=2,"Sim, 00:05 min de tolerância","Sim, 00:10 min de tolerância"))</f>
        <v>Sim, 00:05 min de tolerância</v>
      </c>
      <c r="L19" s="199"/>
      <c r="M19" s="200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</row>
    <row r="20" spans="2:77" ht="18" customHeight="1" thickBot="1" x14ac:dyDescent="0.25">
      <c r="B20" s="270" t="s">
        <v>108</v>
      </c>
      <c r="C20" s="271"/>
      <c r="D20" s="55"/>
      <c r="E20" s="160"/>
      <c r="F20" s="160"/>
      <c r="G20" s="55"/>
      <c r="H20" s="259" t="s">
        <v>107</v>
      </c>
      <c r="I20" s="260"/>
      <c r="J20" s="260"/>
      <c r="K20" s="201" t="str">
        <f>IF(jorn_t=1,"Não","Sim, 00:10 min de tolerância")</f>
        <v>Sim, 00:10 min de tolerância</v>
      </c>
      <c r="L20" s="199"/>
      <c r="M20" s="200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</row>
    <row r="21" spans="2:77" ht="20.100000000000001" customHeight="1" thickBot="1" x14ac:dyDescent="0.25">
      <c r="B21" s="144"/>
      <c r="C21" s="145"/>
      <c r="D21" s="55"/>
      <c r="E21" s="160"/>
      <c r="F21" s="160"/>
      <c r="G21" s="55"/>
      <c r="H21" s="259" t="s">
        <v>112</v>
      </c>
      <c r="I21" s="260"/>
      <c r="J21" s="260"/>
      <c r="K21" s="201" t="str">
        <f>CONCATENATE("Adicional de "&amp;I9&amp;"%")</f>
        <v>Adicional de 20%</v>
      </c>
      <c r="L21" s="199"/>
      <c r="M21" s="200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5"/>
      <c r="AW21" s="55"/>
      <c r="AX21" s="55"/>
      <c r="AY21" s="55"/>
      <c r="AZ21" s="55"/>
      <c r="BA21" s="55"/>
      <c r="BB21" s="55"/>
      <c r="BC21" s="55"/>
      <c r="BD21" s="55"/>
      <c r="BE21" s="55"/>
      <c r="BF21" s="55"/>
      <c r="BG21" s="55"/>
      <c r="BH21" s="55"/>
      <c r="BI21" s="55"/>
      <c r="BJ21" s="55"/>
      <c r="BK21" s="55"/>
      <c r="BL21" s="55"/>
      <c r="BM21" s="55"/>
      <c r="BN21" s="55"/>
      <c r="BO21" s="55"/>
      <c r="BP21" s="55"/>
      <c r="BQ21" s="55"/>
      <c r="BR21" s="55"/>
      <c r="BS21" s="55"/>
      <c r="BT21" s="55"/>
      <c r="BU21" s="55"/>
      <c r="BV21" s="55"/>
      <c r="BW21" s="55"/>
      <c r="BX21" s="55"/>
      <c r="BY21" s="55"/>
    </row>
    <row r="22" spans="2:77" ht="18" customHeight="1" thickBot="1" x14ac:dyDescent="0.25">
      <c r="B22" s="272" t="s">
        <v>109</v>
      </c>
      <c r="C22" s="273"/>
      <c r="D22" s="55"/>
      <c r="E22" s="160"/>
      <c r="F22" s="160"/>
      <c r="G22" s="55"/>
      <c r="H22" s="259" t="s">
        <v>115</v>
      </c>
      <c r="I22" s="260"/>
      <c r="J22" s="260"/>
      <c r="K22" s="201" t="str">
        <f>CONCATENATE("Adicional de "&amp;H9&amp;"%")</f>
        <v>Adicional de 50%</v>
      </c>
      <c r="L22" s="199"/>
      <c r="M22" s="200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55"/>
      <c r="BE22" s="55"/>
      <c r="BF22" s="55"/>
      <c r="BG22" s="55"/>
      <c r="BH22" s="55"/>
      <c r="BI22" s="55"/>
      <c r="BJ22" s="55"/>
      <c r="BK22" s="55"/>
      <c r="BL22" s="55"/>
      <c r="BM22" s="55"/>
      <c r="BN22" s="55"/>
      <c r="BO22" s="55"/>
      <c r="BP22" s="55"/>
      <c r="BQ22" s="55"/>
      <c r="BR22" s="55"/>
      <c r="BS22" s="55"/>
      <c r="BT22" s="55"/>
      <c r="BU22" s="55"/>
      <c r="BV22" s="55"/>
      <c r="BW22" s="55"/>
      <c r="BX22" s="55"/>
      <c r="BY22" s="55"/>
    </row>
    <row r="23" spans="2:77" ht="20.100000000000001" customHeight="1" thickBot="1" x14ac:dyDescent="0.25">
      <c r="B23" s="157" t="s">
        <v>91</v>
      </c>
      <c r="C23" s="156">
        <v>0.95833333333333337</v>
      </c>
      <c r="D23" s="55"/>
      <c r="E23" s="55"/>
      <c r="F23" s="55"/>
      <c r="G23" s="55"/>
      <c r="H23" s="259" t="s">
        <v>114</v>
      </c>
      <c r="I23" s="260"/>
      <c r="J23" s="260"/>
      <c r="K23" s="201" t="str">
        <f>"Adicional de "&amp;100&amp;"%"</f>
        <v>Adicional de 100%</v>
      </c>
      <c r="L23" s="199"/>
      <c r="M23" s="200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</row>
    <row r="24" spans="2:77" ht="18" customHeight="1" thickBot="1" x14ac:dyDescent="0.25">
      <c r="B24" s="268" t="s">
        <v>92</v>
      </c>
      <c r="C24" s="269"/>
      <c r="D24" s="55"/>
      <c r="E24" s="55"/>
      <c r="F24" s="55"/>
      <c r="G24" s="55"/>
      <c r="H24" s="261" t="s">
        <v>113</v>
      </c>
      <c r="I24" s="262"/>
      <c r="J24" s="262"/>
      <c r="K24" s="203" t="str">
        <f>CONCATENATE("Adicional de "&amp;J9&amp;"%")</f>
        <v>Adicional de 50%</v>
      </c>
      <c r="L24" s="204"/>
      <c r="M24" s="20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  <c r="BF24" s="55"/>
      <c r="BG24" s="55"/>
      <c r="BH24" s="55"/>
      <c r="BI24" s="55"/>
      <c r="BJ24" s="55"/>
      <c r="BK24" s="55"/>
      <c r="BL24" s="55"/>
      <c r="BM24" s="55"/>
      <c r="BN24" s="55"/>
      <c r="BO24" s="55"/>
      <c r="BP24" s="55"/>
      <c r="BQ24" s="55"/>
      <c r="BR24" s="55"/>
      <c r="BS24" s="55"/>
      <c r="BT24" s="55"/>
      <c r="BU24" s="55"/>
      <c r="BV24" s="55"/>
      <c r="BW24" s="55"/>
      <c r="BX24" s="55"/>
      <c r="BY24" s="55"/>
    </row>
    <row r="25" spans="2:77" ht="15.95" customHeight="1" x14ac:dyDescent="0.2">
      <c r="B25" s="160"/>
      <c r="C25" s="160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</row>
    <row r="26" spans="2:77" x14ac:dyDescent="0.2">
      <c r="B26" s="160"/>
      <c r="C26" s="160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5"/>
      <c r="BX26" s="55"/>
      <c r="BY26" s="55"/>
    </row>
    <row r="27" spans="2:77" x14ac:dyDescent="0.2">
      <c r="B27" s="160"/>
      <c r="C27" s="160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  <c r="BE27" s="55"/>
      <c r="BF27" s="55"/>
      <c r="BG27" s="55"/>
      <c r="BH27" s="55"/>
      <c r="BI27" s="55"/>
      <c r="BJ27" s="55"/>
      <c r="BK27" s="55"/>
      <c r="BL27" s="55"/>
      <c r="BM27" s="55"/>
      <c r="BN27" s="55"/>
      <c r="BO27" s="55"/>
      <c r="BP27" s="55"/>
      <c r="BQ27" s="55"/>
      <c r="BR27" s="55"/>
      <c r="BS27" s="55"/>
      <c r="BT27" s="55"/>
      <c r="BU27" s="55"/>
      <c r="BV27" s="55"/>
      <c r="BW27" s="55"/>
      <c r="BX27" s="55"/>
      <c r="BY27" s="55"/>
    </row>
    <row r="28" spans="2:77" x14ac:dyDescent="0.2">
      <c r="B28" s="160"/>
      <c r="C28" s="160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5"/>
      <c r="BE28" s="55"/>
      <c r="BF28" s="55"/>
      <c r="BG28" s="55"/>
      <c r="BH28" s="55"/>
      <c r="BI28" s="55"/>
      <c r="BJ28" s="55"/>
      <c r="BK28" s="55"/>
      <c r="BL28" s="55"/>
      <c r="BM28" s="55"/>
      <c r="BN28" s="55"/>
      <c r="BO28" s="55"/>
      <c r="BP28" s="55"/>
      <c r="BQ28" s="55"/>
      <c r="BR28" s="55"/>
      <c r="BS28" s="55"/>
      <c r="BT28" s="55"/>
      <c r="BU28" s="55"/>
      <c r="BV28" s="55"/>
      <c r="BW28" s="55"/>
      <c r="BX28" s="55"/>
      <c r="BY28" s="55"/>
    </row>
    <row r="29" spans="2:77" x14ac:dyDescent="0.2">
      <c r="B29" s="160"/>
      <c r="C29" s="160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  <c r="BF29" s="55"/>
      <c r="BG29" s="55"/>
      <c r="BH29" s="55"/>
      <c r="BI29" s="55"/>
      <c r="BJ29" s="55"/>
      <c r="BK29" s="55"/>
      <c r="BL29" s="55"/>
      <c r="BM29" s="55"/>
      <c r="BN29" s="55"/>
      <c r="BO29" s="55"/>
      <c r="BP29" s="55"/>
      <c r="BQ29" s="55"/>
      <c r="BR29" s="55"/>
      <c r="BS29" s="55"/>
      <c r="BT29" s="55"/>
      <c r="BU29" s="55"/>
      <c r="BV29" s="55"/>
      <c r="BW29" s="55"/>
      <c r="BX29" s="55"/>
      <c r="BY29" s="55"/>
    </row>
    <row r="30" spans="2:77" x14ac:dyDescent="0.2">
      <c r="B30" s="160"/>
      <c r="C30" s="160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55"/>
      <c r="BL30" s="55"/>
      <c r="BM30" s="55"/>
      <c r="BN30" s="55"/>
      <c r="BO30" s="55"/>
      <c r="BP30" s="55"/>
      <c r="BQ30" s="55"/>
      <c r="BR30" s="55"/>
      <c r="BS30" s="55"/>
      <c r="BT30" s="55"/>
      <c r="BU30" s="55"/>
      <c r="BV30" s="55"/>
      <c r="BW30" s="55"/>
      <c r="BX30" s="55"/>
      <c r="BY30" s="55"/>
    </row>
    <row r="31" spans="2:77" x14ac:dyDescent="0.2"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  <c r="BC31" s="55"/>
      <c r="BD31" s="55"/>
      <c r="BE31" s="55"/>
      <c r="BF31" s="55"/>
      <c r="BG31" s="55"/>
      <c r="BH31" s="55"/>
      <c r="BI31" s="55"/>
      <c r="BJ31" s="55"/>
      <c r="BK31" s="55"/>
      <c r="BL31" s="55"/>
      <c r="BM31" s="55"/>
      <c r="BN31" s="55"/>
      <c r="BO31" s="55"/>
      <c r="BP31" s="55"/>
      <c r="BQ31" s="55"/>
      <c r="BR31" s="55"/>
      <c r="BS31" s="55"/>
      <c r="BT31" s="55"/>
      <c r="BU31" s="55"/>
      <c r="BV31" s="55"/>
      <c r="BW31" s="55"/>
      <c r="BX31" s="55"/>
      <c r="BY31" s="55"/>
    </row>
    <row r="32" spans="2:77" x14ac:dyDescent="0.2"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5"/>
      <c r="BM32" s="55"/>
      <c r="BN32" s="55"/>
      <c r="BO32" s="55"/>
      <c r="BP32" s="55"/>
      <c r="BQ32" s="55"/>
      <c r="BR32" s="55"/>
      <c r="BS32" s="55"/>
      <c r="BT32" s="55"/>
      <c r="BU32" s="55"/>
      <c r="BV32" s="55"/>
      <c r="BW32" s="55"/>
      <c r="BX32" s="55"/>
      <c r="BY32" s="55"/>
    </row>
    <row r="33" spans="2:77" x14ac:dyDescent="0.2"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  <c r="BP33" s="55"/>
      <c r="BQ33" s="55"/>
      <c r="BR33" s="55"/>
      <c r="BS33" s="55"/>
      <c r="BT33" s="55"/>
      <c r="BU33" s="55"/>
      <c r="BV33" s="55"/>
      <c r="BW33" s="55"/>
      <c r="BX33" s="55"/>
      <c r="BY33" s="55"/>
    </row>
    <row r="34" spans="2:77" x14ac:dyDescent="0.2"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55"/>
      <c r="BK34" s="55"/>
      <c r="BL34" s="55"/>
      <c r="BM34" s="55"/>
      <c r="BN34" s="55"/>
      <c r="BO34" s="55"/>
      <c r="BP34" s="55"/>
      <c r="BQ34" s="55"/>
      <c r="BR34" s="55"/>
      <c r="BS34" s="55"/>
      <c r="BT34" s="55"/>
      <c r="BU34" s="55"/>
      <c r="BV34" s="55"/>
      <c r="BW34" s="55"/>
      <c r="BX34" s="55"/>
      <c r="BY34" s="55"/>
    </row>
    <row r="35" spans="2:77" x14ac:dyDescent="0.2"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55"/>
      <c r="BM35" s="55"/>
      <c r="BN35" s="55"/>
      <c r="BO35" s="55"/>
      <c r="BP35" s="55"/>
      <c r="BQ35" s="55"/>
      <c r="BR35" s="55"/>
      <c r="BS35" s="55"/>
      <c r="BT35" s="55"/>
      <c r="BU35" s="55"/>
      <c r="BV35" s="55"/>
      <c r="BW35" s="55"/>
      <c r="BX35" s="55"/>
      <c r="BY35" s="55"/>
    </row>
    <row r="36" spans="2:77" x14ac:dyDescent="0.2"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55"/>
      <c r="AZ36" s="55"/>
      <c r="BA36" s="55"/>
      <c r="BB36" s="55"/>
      <c r="BC36" s="55"/>
      <c r="BD36" s="55"/>
      <c r="BE36" s="55"/>
      <c r="BF36" s="55"/>
      <c r="BG36" s="55"/>
      <c r="BH36" s="55"/>
      <c r="BI36" s="55"/>
      <c r="BJ36" s="55"/>
      <c r="BK36" s="55"/>
      <c r="BL36" s="55"/>
      <c r="BM36" s="55"/>
      <c r="BN36" s="55"/>
      <c r="BO36" s="55"/>
      <c r="BP36" s="55"/>
      <c r="BQ36" s="55"/>
      <c r="BR36" s="55"/>
      <c r="BS36" s="55"/>
      <c r="BT36" s="55"/>
      <c r="BU36" s="55"/>
      <c r="BV36" s="55"/>
      <c r="BW36" s="55"/>
      <c r="BX36" s="55"/>
      <c r="BY36" s="55"/>
    </row>
    <row r="37" spans="2:77" x14ac:dyDescent="0.2"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  <c r="BC37" s="55"/>
      <c r="BD37" s="55"/>
      <c r="BE37" s="55"/>
      <c r="BF37" s="55"/>
      <c r="BG37" s="55"/>
      <c r="BH37" s="55"/>
      <c r="BI37" s="55"/>
      <c r="BJ37" s="55"/>
      <c r="BK37" s="55"/>
      <c r="BL37" s="55"/>
      <c r="BM37" s="55"/>
      <c r="BN37" s="55"/>
      <c r="BO37" s="55"/>
      <c r="BP37" s="55"/>
      <c r="BQ37" s="55"/>
      <c r="BR37" s="55"/>
      <c r="BS37" s="55"/>
      <c r="BT37" s="55"/>
      <c r="BU37" s="55"/>
      <c r="BV37" s="55"/>
      <c r="BW37" s="55"/>
      <c r="BX37" s="55"/>
      <c r="BY37" s="55"/>
    </row>
    <row r="38" spans="2:77" x14ac:dyDescent="0.2"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55"/>
      <c r="BP38" s="55"/>
      <c r="BQ38" s="55"/>
      <c r="BR38" s="55"/>
      <c r="BS38" s="55"/>
      <c r="BT38" s="55"/>
      <c r="BU38" s="55"/>
      <c r="BV38" s="55"/>
      <c r="BW38" s="55"/>
      <c r="BX38" s="55"/>
      <c r="BY38" s="55"/>
    </row>
    <row r="39" spans="2:77" x14ac:dyDescent="0.2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5"/>
      <c r="BM39" s="55"/>
      <c r="BN39" s="55"/>
      <c r="BO39" s="55"/>
      <c r="BP39" s="55"/>
      <c r="BQ39" s="55"/>
      <c r="BR39" s="55"/>
      <c r="BS39" s="55"/>
      <c r="BT39" s="55"/>
      <c r="BU39" s="55"/>
      <c r="BV39" s="55"/>
      <c r="BW39" s="55"/>
      <c r="BX39" s="55"/>
      <c r="BY39" s="55"/>
    </row>
    <row r="40" spans="2:77" x14ac:dyDescent="0.2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5"/>
      <c r="BC40" s="55"/>
      <c r="BD40" s="55"/>
      <c r="BE40" s="55"/>
      <c r="BF40" s="55"/>
      <c r="BG40" s="55"/>
      <c r="BH40" s="55"/>
      <c r="BI40" s="55"/>
      <c r="BJ40" s="55"/>
      <c r="BK40" s="55"/>
      <c r="BL40" s="55"/>
      <c r="BM40" s="55"/>
      <c r="BN40" s="55"/>
      <c r="BO40" s="55"/>
      <c r="BP40" s="55"/>
      <c r="BQ40" s="55"/>
      <c r="BR40" s="55"/>
      <c r="BS40" s="55"/>
      <c r="BT40" s="55"/>
      <c r="BU40" s="55"/>
      <c r="BV40" s="55"/>
      <c r="BW40" s="55"/>
      <c r="BX40" s="55"/>
      <c r="BY40" s="55"/>
    </row>
    <row r="41" spans="2:77" x14ac:dyDescent="0.2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5"/>
      <c r="BG41" s="55"/>
      <c r="BH41" s="55"/>
      <c r="BI41" s="55"/>
      <c r="BJ41" s="55"/>
      <c r="BK41" s="55"/>
      <c r="BL41" s="55"/>
      <c r="BM41" s="55"/>
      <c r="BN41" s="55"/>
      <c r="BO41" s="55"/>
      <c r="BP41" s="55"/>
      <c r="BQ41" s="55"/>
      <c r="BR41" s="55"/>
      <c r="BS41" s="55"/>
      <c r="BT41" s="55"/>
      <c r="BU41" s="55"/>
      <c r="BV41" s="55"/>
      <c r="BW41" s="55"/>
      <c r="BX41" s="55"/>
      <c r="BY41" s="55"/>
    </row>
    <row r="42" spans="2:77" x14ac:dyDescent="0.2"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5"/>
      <c r="BM42" s="55"/>
      <c r="BN42" s="55"/>
      <c r="BO42" s="55"/>
      <c r="BP42" s="55"/>
      <c r="BQ42" s="55"/>
      <c r="BR42" s="55"/>
      <c r="BS42" s="55"/>
      <c r="BT42" s="55"/>
      <c r="BU42" s="55"/>
      <c r="BV42" s="55"/>
      <c r="BW42" s="55"/>
      <c r="BX42" s="55"/>
      <c r="BY42" s="55"/>
    </row>
    <row r="43" spans="2:77" x14ac:dyDescent="0.2"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55"/>
      <c r="AZ43" s="55"/>
      <c r="BA43" s="55"/>
      <c r="BB43" s="55"/>
      <c r="BC43" s="55"/>
      <c r="BD43" s="55"/>
      <c r="BE43" s="55"/>
      <c r="BF43" s="55"/>
      <c r="BG43" s="55"/>
      <c r="BH43" s="55"/>
      <c r="BI43" s="55"/>
      <c r="BJ43" s="55"/>
      <c r="BK43" s="55"/>
      <c r="BL43" s="55"/>
      <c r="BM43" s="55"/>
      <c r="BN43" s="55"/>
      <c r="BO43" s="55"/>
      <c r="BP43" s="55"/>
      <c r="BQ43" s="55"/>
      <c r="BR43" s="55"/>
      <c r="BS43" s="55"/>
      <c r="BT43" s="55"/>
      <c r="BU43" s="55"/>
      <c r="BV43" s="55"/>
      <c r="BW43" s="55"/>
      <c r="BX43" s="55"/>
      <c r="BY43" s="55"/>
    </row>
    <row r="44" spans="2:77" x14ac:dyDescent="0.2"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55"/>
      <c r="AZ44" s="55"/>
      <c r="BA44" s="55"/>
      <c r="BB44" s="55"/>
      <c r="BC44" s="55"/>
      <c r="BD44" s="55"/>
      <c r="BE44" s="55"/>
      <c r="BF44" s="55"/>
      <c r="BG44" s="55"/>
      <c r="BH44" s="55"/>
      <c r="BI44" s="55"/>
      <c r="BJ44" s="55"/>
      <c r="BK44" s="55"/>
      <c r="BL44" s="55"/>
      <c r="BM44" s="55"/>
      <c r="BN44" s="55"/>
      <c r="BO44" s="55"/>
      <c r="BP44" s="55"/>
      <c r="BQ44" s="55"/>
      <c r="BR44" s="55"/>
      <c r="BS44" s="55"/>
      <c r="BT44" s="55"/>
      <c r="BU44" s="55"/>
      <c r="BV44" s="55"/>
      <c r="BW44" s="55"/>
      <c r="BX44" s="55"/>
      <c r="BY44" s="55"/>
    </row>
    <row r="45" spans="2:77" x14ac:dyDescent="0.2"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55"/>
      <c r="AZ45" s="55"/>
      <c r="BA45" s="55"/>
      <c r="BB45" s="55"/>
      <c r="BC45" s="55"/>
      <c r="BD45" s="55"/>
      <c r="BE45" s="55"/>
      <c r="BF45" s="55"/>
      <c r="BG45" s="55"/>
      <c r="BH45" s="55"/>
      <c r="BI45" s="55"/>
      <c r="BJ45" s="55"/>
      <c r="BK45" s="55"/>
      <c r="BL45" s="55"/>
      <c r="BM45" s="55"/>
      <c r="BN45" s="55"/>
      <c r="BO45" s="55"/>
      <c r="BP45" s="55"/>
      <c r="BQ45" s="55"/>
      <c r="BR45" s="55"/>
      <c r="BS45" s="55"/>
      <c r="BT45" s="55"/>
      <c r="BU45" s="55"/>
      <c r="BV45" s="55"/>
      <c r="BW45" s="55"/>
      <c r="BX45" s="55"/>
      <c r="BY45" s="55"/>
    </row>
    <row r="46" spans="2:77" x14ac:dyDescent="0.2"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  <c r="BC46" s="55"/>
      <c r="BD46" s="55"/>
      <c r="BE46" s="55"/>
      <c r="BF46" s="55"/>
      <c r="BG46" s="55"/>
      <c r="BH46" s="55"/>
      <c r="BI46" s="55"/>
      <c r="BJ46" s="55"/>
      <c r="BK46" s="55"/>
      <c r="BL46" s="55"/>
      <c r="BM46" s="55"/>
      <c r="BN46" s="55"/>
      <c r="BO46" s="55"/>
      <c r="BP46" s="55"/>
      <c r="BQ46" s="55"/>
      <c r="BR46" s="55"/>
      <c r="BS46" s="55"/>
      <c r="BT46" s="55"/>
      <c r="BU46" s="55"/>
      <c r="BV46" s="55"/>
      <c r="BW46" s="55"/>
      <c r="BX46" s="55"/>
      <c r="BY46" s="55"/>
    </row>
    <row r="47" spans="2:77" x14ac:dyDescent="0.2">
      <c r="B47" s="55"/>
      <c r="C47" s="55"/>
      <c r="D47" s="55"/>
      <c r="E47" s="55"/>
      <c r="F47" s="55"/>
      <c r="G47" s="55"/>
      <c r="H47" s="55"/>
      <c r="I47" s="55"/>
      <c r="J47" s="55">
        <v>50</v>
      </c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5"/>
      <c r="BG47" s="55"/>
      <c r="BH47" s="55"/>
      <c r="BI47" s="55"/>
      <c r="BJ47" s="55"/>
      <c r="BK47" s="55"/>
      <c r="BL47" s="55"/>
      <c r="BM47" s="55"/>
      <c r="BN47" s="55"/>
      <c r="BO47" s="55"/>
      <c r="BP47" s="55"/>
      <c r="BQ47" s="55"/>
      <c r="BR47" s="55"/>
      <c r="BS47" s="55"/>
      <c r="BT47" s="55"/>
      <c r="BU47" s="55"/>
      <c r="BV47" s="55"/>
      <c r="BW47" s="55"/>
      <c r="BX47" s="55"/>
      <c r="BY47" s="55"/>
    </row>
    <row r="48" spans="2:77" x14ac:dyDescent="0.2"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55"/>
      <c r="BG48" s="55"/>
      <c r="BH48" s="55"/>
      <c r="BI48" s="55"/>
      <c r="BJ48" s="55"/>
      <c r="BK48" s="55"/>
      <c r="BL48" s="55"/>
      <c r="BM48" s="55"/>
      <c r="BN48" s="55"/>
      <c r="BO48" s="55"/>
      <c r="BP48" s="55"/>
      <c r="BQ48" s="55"/>
      <c r="BR48" s="55"/>
      <c r="BS48" s="55"/>
      <c r="BT48" s="55"/>
      <c r="BU48" s="55"/>
      <c r="BV48" s="55"/>
      <c r="BW48" s="55"/>
      <c r="BX48" s="55"/>
      <c r="BY48" s="55"/>
    </row>
    <row r="49" spans="2:77" x14ac:dyDescent="0.2"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55"/>
      <c r="AZ49" s="55"/>
      <c r="BA49" s="55"/>
      <c r="BB49" s="55"/>
      <c r="BC49" s="55"/>
      <c r="BD49" s="55"/>
      <c r="BE49" s="55"/>
      <c r="BF49" s="55"/>
      <c r="BG49" s="55"/>
      <c r="BH49" s="55"/>
      <c r="BI49" s="55"/>
      <c r="BJ49" s="55"/>
      <c r="BK49" s="55"/>
      <c r="BL49" s="55"/>
      <c r="BM49" s="55"/>
      <c r="BN49" s="55"/>
      <c r="BO49" s="55"/>
      <c r="BP49" s="55"/>
      <c r="BQ49" s="55"/>
      <c r="BR49" s="55"/>
      <c r="BS49" s="55"/>
      <c r="BT49" s="55"/>
      <c r="BU49" s="55"/>
      <c r="BV49" s="55"/>
      <c r="BW49" s="55"/>
      <c r="BX49" s="55"/>
      <c r="BY49" s="55"/>
    </row>
    <row r="50" spans="2:77" x14ac:dyDescent="0.2"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55"/>
      <c r="AZ50" s="55"/>
      <c r="BA50" s="55"/>
      <c r="BB50" s="55"/>
      <c r="BC50" s="55"/>
      <c r="BD50" s="55"/>
      <c r="BE50" s="55"/>
      <c r="BF50" s="55"/>
      <c r="BG50" s="55"/>
      <c r="BH50" s="55"/>
      <c r="BI50" s="55"/>
      <c r="BJ50" s="55"/>
      <c r="BK50" s="55"/>
      <c r="BL50" s="55"/>
      <c r="BM50" s="55"/>
      <c r="BN50" s="55"/>
      <c r="BO50" s="55"/>
      <c r="BP50" s="55"/>
      <c r="BQ50" s="55"/>
      <c r="BR50" s="55"/>
      <c r="BS50" s="55"/>
      <c r="BT50" s="55"/>
      <c r="BU50" s="55"/>
      <c r="BV50" s="55"/>
      <c r="BW50" s="55"/>
      <c r="BX50" s="55"/>
      <c r="BY50" s="55"/>
    </row>
    <row r="51" spans="2:77" x14ac:dyDescent="0.2"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55"/>
      <c r="AZ51" s="55"/>
      <c r="BA51" s="55"/>
      <c r="BB51" s="55"/>
      <c r="BC51" s="55"/>
      <c r="BD51" s="55"/>
      <c r="BE51" s="55"/>
      <c r="BF51" s="55"/>
      <c r="BG51" s="55"/>
      <c r="BH51" s="55"/>
      <c r="BI51" s="55"/>
      <c r="BJ51" s="55"/>
      <c r="BK51" s="55"/>
      <c r="BL51" s="55"/>
      <c r="BM51" s="55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</row>
    <row r="52" spans="2:77" x14ac:dyDescent="0.2"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55"/>
      <c r="AZ52" s="55"/>
      <c r="BA52" s="55"/>
      <c r="BB52" s="55"/>
      <c r="BC52" s="55"/>
      <c r="BD52" s="55"/>
      <c r="BE52" s="55"/>
      <c r="BF52" s="55"/>
      <c r="BG52" s="55"/>
      <c r="BH52" s="55"/>
      <c r="BI52" s="55"/>
      <c r="BJ52" s="55"/>
      <c r="BK52" s="55"/>
      <c r="BL52" s="55"/>
      <c r="BM52" s="55"/>
      <c r="BN52" s="55"/>
      <c r="BO52" s="55"/>
      <c r="BP52" s="55"/>
      <c r="BQ52" s="55"/>
      <c r="BR52" s="55"/>
      <c r="BS52" s="55"/>
      <c r="BT52" s="55"/>
      <c r="BU52" s="55"/>
      <c r="BV52" s="55"/>
      <c r="BW52" s="55"/>
      <c r="BX52" s="55"/>
      <c r="BY52" s="55"/>
    </row>
    <row r="53" spans="2:77" x14ac:dyDescent="0.2"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55"/>
      <c r="AZ53" s="55"/>
      <c r="BA53" s="55"/>
      <c r="BB53" s="55"/>
      <c r="BC53" s="55"/>
      <c r="BD53" s="55"/>
      <c r="BE53" s="55"/>
      <c r="BF53" s="55"/>
      <c r="BG53" s="55"/>
      <c r="BH53" s="55"/>
      <c r="BI53" s="55"/>
      <c r="BJ53" s="55"/>
      <c r="BK53" s="55"/>
      <c r="BL53" s="55"/>
      <c r="BM53" s="55"/>
      <c r="BN53" s="55"/>
      <c r="BO53" s="55"/>
      <c r="BP53" s="55"/>
      <c r="BQ53" s="55"/>
      <c r="BR53" s="55"/>
      <c r="BS53" s="55"/>
      <c r="BT53" s="55"/>
      <c r="BU53" s="55"/>
      <c r="BV53" s="55"/>
      <c r="BW53" s="55"/>
      <c r="BX53" s="55"/>
      <c r="BY53" s="55"/>
    </row>
    <row r="54" spans="2:77" x14ac:dyDescent="0.2"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55"/>
      <c r="BA54" s="55"/>
      <c r="BB54" s="55"/>
      <c r="BC54" s="55"/>
      <c r="BD54" s="55"/>
      <c r="BE54" s="55"/>
      <c r="BF54" s="55"/>
      <c r="BG54" s="55"/>
      <c r="BH54" s="55"/>
      <c r="BI54" s="55"/>
      <c r="BJ54" s="55"/>
      <c r="BK54" s="55"/>
      <c r="BL54" s="55"/>
      <c r="BM54" s="55"/>
      <c r="BN54" s="55"/>
      <c r="BO54" s="55"/>
      <c r="BP54" s="55"/>
      <c r="BQ54" s="55"/>
      <c r="BR54" s="55"/>
      <c r="BS54" s="55"/>
      <c r="BT54" s="55"/>
      <c r="BU54" s="55"/>
      <c r="BV54" s="55"/>
      <c r="BW54" s="55"/>
      <c r="BX54" s="55"/>
      <c r="BY54" s="55"/>
    </row>
    <row r="55" spans="2:77" x14ac:dyDescent="0.2"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55"/>
      <c r="AZ55" s="55"/>
      <c r="BA55" s="55"/>
      <c r="BB55" s="55"/>
      <c r="BC55" s="55"/>
      <c r="BD55" s="55"/>
      <c r="BE55" s="55"/>
      <c r="BF55" s="55"/>
      <c r="BG55" s="55"/>
      <c r="BH55" s="55"/>
      <c r="BI55" s="55"/>
      <c r="BJ55" s="55"/>
      <c r="BK55" s="55"/>
      <c r="BL55" s="55"/>
      <c r="BM55" s="55"/>
      <c r="BN55" s="55"/>
      <c r="BO55" s="55"/>
      <c r="BP55" s="55"/>
      <c r="BQ55" s="55"/>
      <c r="BR55" s="55"/>
      <c r="BS55" s="55"/>
      <c r="BT55" s="55"/>
      <c r="BU55" s="55"/>
      <c r="BV55" s="55"/>
      <c r="BW55" s="55"/>
      <c r="BX55" s="55"/>
      <c r="BY55" s="55"/>
    </row>
    <row r="56" spans="2:77" x14ac:dyDescent="0.2"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55"/>
      <c r="AZ56" s="55"/>
      <c r="BA56" s="55"/>
      <c r="BB56" s="55"/>
      <c r="BC56" s="55"/>
      <c r="BD56" s="55"/>
      <c r="BE56" s="55"/>
      <c r="BF56" s="55"/>
      <c r="BG56" s="55"/>
      <c r="BH56" s="55"/>
      <c r="BI56" s="55"/>
      <c r="BJ56" s="55"/>
      <c r="BK56" s="55"/>
      <c r="BL56" s="55"/>
      <c r="BM56" s="55"/>
      <c r="BN56" s="55"/>
      <c r="BO56" s="55"/>
      <c r="BP56" s="55"/>
      <c r="BQ56" s="55"/>
      <c r="BR56" s="55"/>
      <c r="BS56" s="55"/>
      <c r="BT56" s="55"/>
      <c r="BU56" s="55"/>
      <c r="BV56" s="55"/>
      <c r="BW56" s="55"/>
      <c r="BX56" s="55"/>
      <c r="BY56" s="55"/>
    </row>
    <row r="57" spans="2:77" x14ac:dyDescent="0.2"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5"/>
      <c r="AY57" s="55"/>
      <c r="AZ57" s="55"/>
      <c r="BA57" s="55"/>
      <c r="BB57" s="55"/>
      <c r="BC57" s="55"/>
      <c r="BD57" s="55"/>
      <c r="BE57" s="55"/>
      <c r="BF57" s="55"/>
      <c r="BG57" s="55"/>
      <c r="BH57" s="55"/>
      <c r="BI57" s="55"/>
      <c r="BJ57" s="55"/>
      <c r="BK57" s="55"/>
      <c r="BL57" s="55"/>
      <c r="BM57" s="55"/>
      <c r="BN57" s="55"/>
      <c r="BO57" s="55"/>
      <c r="BP57" s="55"/>
      <c r="BQ57" s="55"/>
      <c r="BR57" s="55"/>
      <c r="BS57" s="55"/>
      <c r="BT57" s="55"/>
      <c r="BU57" s="55"/>
      <c r="BV57" s="55"/>
      <c r="BW57" s="55"/>
      <c r="BX57" s="55"/>
      <c r="BY57" s="55"/>
    </row>
    <row r="58" spans="2:77" x14ac:dyDescent="0.2"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55"/>
      <c r="AN58" s="55"/>
      <c r="AO58" s="55"/>
      <c r="AP58" s="55"/>
      <c r="AQ58" s="55"/>
      <c r="AR58" s="55"/>
      <c r="AS58" s="55"/>
      <c r="AT58" s="55"/>
      <c r="AU58" s="55"/>
      <c r="AV58" s="55"/>
      <c r="AW58" s="55"/>
      <c r="AX58" s="55"/>
      <c r="AY58" s="55"/>
      <c r="AZ58" s="55"/>
      <c r="BA58" s="55"/>
      <c r="BB58" s="55"/>
      <c r="BC58" s="55"/>
      <c r="BD58" s="55"/>
      <c r="BE58" s="55"/>
      <c r="BF58" s="55"/>
      <c r="BG58" s="55"/>
      <c r="BH58" s="55"/>
      <c r="BI58" s="55"/>
      <c r="BJ58" s="55"/>
      <c r="BK58" s="55"/>
      <c r="BL58" s="55"/>
      <c r="BM58" s="55"/>
      <c r="BN58" s="55"/>
      <c r="BO58" s="55"/>
      <c r="BP58" s="55"/>
      <c r="BQ58" s="55"/>
      <c r="BR58" s="55"/>
      <c r="BS58" s="55"/>
      <c r="BT58" s="55"/>
      <c r="BU58" s="55"/>
      <c r="BV58" s="55"/>
      <c r="BW58" s="55"/>
      <c r="BX58" s="55"/>
      <c r="BY58" s="55"/>
    </row>
    <row r="59" spans="2:77" x14ac:dyDescent="0.2"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55"/>
      <c r="AZ59" s="55"/>
      <c r="BA59" s="55"/>
      <c r="BB59" s="55"/>
      <c r="BC59" s="55"/>
      <c r="BD59" s="55"/>
      <c r="BE59" s="55"/>
      <c r="BF59" s="55"/>
      <c r="BG59" s="55"/>
      <c r="BH59" s="55"/>
      <c r="BI59" s="55"/>
      <c r="BJ59" s="55"/>
      <c r="BK59" s="55"/>
      <c r="BL59" s="55"/>
      <c r="BM59" s="55"/>
      <c r="BN59" s="55"/>
      <c r="BO59" s="55"/>
      <c r="BP59" s="55"/>
      <c r="BQ59" s="55"/>
      <c r="BR59" s="55"/>
      <c r="BS59" s="55"/>
      <c r="BT59" s="55"/>
      <c r="BU59" s="55"/>
      <c r="BV59" s="55"/>
      <c r="BW59" s="55"/>
      <c r="BX59" s="55"/>
      <c r="BY59" s="55"/>
    </row>
    <row r="60" spans="2:77" x14ac:dyDescent="0.2"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55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55"/>
      <c r="AZ60" s="55"/>
      <c r="BA60" s="55"/>
      <c r="BB60" s="55"/>
      <c r="BC60" s="55"/>
      <c r="BD60" s="55"/>
      <c r="BE60" s="55"/>
      <c r="BF60" s="55"/>
      <c r="BG60" s="55"/>
      <c r="BH60" s="55"/>
      <c r="BI60" s="55"/>
      <c r="BJ60" s="55"/>
      <c r="BK60" s="55"/>
      <c r="BL60" s="55"/>
      <c r="BM60" s="55"/>
      <c r="BN60" s="55"/>
      <c r="BO60" s="55"/>
      <c r="BP60" s="55"/>
      <c r="BQ60" s="55"/>
      <c r="BR60" s="55"/>
      <c r="BS60" s="55"/>
      <c r="BT60" s="55"/>
      <c r="BU60" s="55"/>
      <c r="BV60" s="55"/>
      <c r="BW60" s="55"/>
      <c r="BX60" s="55"/>
      <c r="BY60" s="55"/>
    </row>
    <row r="61" spans="2:77" x14ac:dyDescent="0.2"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55"/>
      <c r="AN61" s="55"/>
      <c r="AO61" s="55"/>
      <c r="AP61" s="55"/>
      <c r="AQ61" s="55"/>
      <c r="AR61" s="55"/>
      <c r="AS61" s="55"/>
      <c r="AT61" s="55"/>
      <c r="AU61" s="55"/>
      <c r="AV61" s="55"/>
      <c r="AW61" s="55"/>
      <c r="AX61" s="55"/>
      <c r="AY61" s="55"/>
      <c r="AZ61" s="55"/>
      <c r="BA61" s="55"/>
      <c r="BB61" s="55"/>
      <c r="BC61" s="55"/>
      <c r="BD61" s="55"/>
      <c r="BE61" s="55"/>
      <c r="BF61" s="55"/>
      <c r="BG61" s="55"/>
      <c r="BH61" s="55"/>
      <c r="BI61" s="55"/>
      <c r="BJ61" s="55"/>
      <c r="BK61" s="55"/>
      <c r="BL61" s="55"/>
      <c r="BM61" s="55"/>
      <c r="BN61" s="55"/>
      <c r="BO61" s="55"/>
      <c r="BP61" s="55"/>
      <c r="BQ61" s="55"/>
      <c r="BR61" s="55"/>
      <c r="BS61" s="55"/>
      <c r="BT61" s="55"/>
      <c r="BU61" s="55"/>
      <c r="BV61" s="55"/>
      <c r="BW61" s="55"/>
      <c r="BX61" s="55"/>
      <c r="BY61" s="55"/>
    </row>
    <row r="62" spans="2:77" x14ac:dyDescent="0.2"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55"/>
      <c r="AN62" s="55"/>
      <c r="AO62" s="55"/>
      <c r="AP62" s="55"/>
      <c r="AQ62" s="55"/>
      <c r="AR62" s="55"/>
      <c r="AS62" s="55"/>
      <c r="AT62" s="55"/>
      <c r="AU62" s="55"/>
      <c r="AV62" s="55"/>
      <c r="AW62" s="55"/>
      <c r="AX62" s="55"/>
      <c r="AY62" s="55"/>
      <c r="AZ62" s="55"/>
      <c r="BA62" s="55"/>
      <c r="BB62" s="55"/>
      <c r="BC62" s="55"/>
      <c r="BD62" s="55"/>
      <c r="BE62" s="55"/>
      <c r="BF62" s="55"/>
      <c r="BG62" s="55"/>
      <c r="BH62" s="55"/>
      <c r="BI62" s="55"/>
      <c r="BJ62" s="55"/>
      <c r="BK62" s="55"/>
      <c r="BL62" s="55"/>
      <c r="BM62" s="55"/>
      <c r="BN62" s="55"/>
      <c r="BO62" s="55"/>
      <c r="BP62" s="55"/>
      <c r="BQ62" s="55"/>
      <c r="BR62" s="55"/>
      <c r="BS62" s="55"/>
      <c r="BT62" s="55"/>
      <c r="BU62" s="55"/>
      <c r="BV62" s="55"/>
      <c r="BW62" s="55"/>
      <c r="BX62" s="55"/>
      <c r="BY62" s="55"/>
    </row>
    <row r="63" spans="2:77" x14ac:dyDescent="0.2"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55"/>
      <c r="AN63" s="55"/>
      <c r="AO63" s="55"/>
      <c r="AP63" s="55"/>
      <c r="AQ63" s="55"/>
      <c r="AR63" s="55"/>
      <c r="AS63" s="55"/>
      <c r="AT63" s="55"/>
      <c r="AU63" s="55"/>
      <c r="AV63" s="55"/>
      <c r="AW63" s="55"/>
      <c r="AX63" s="55"/>
      <c r="AY63" s="55"/>
      <c r="AZ63" s="55"/>
      <c r="BA63" s="55"/>
      <c r="BB63" s="55"/>
      <c r="BC63" s="55"/>
      <c r="BD63" s="55"/>
      <c r="BE63" s="55"/>
      <c r="BF63" s="55"/>
      <c r="BG63" s="55"/>
      <c r="BH63" s="55"/>
      <c r="BI63" s="55"/>
      <c r="BJ63" s="55"/>
      <c r="BK63" s="55"/>
      <c r="BL63" s="55"/>
      <c r="BM63" s="55"/>
      <c r="BN63" s="55"/>
      <c r="BO63" s="55"/>
      <c r="BP63" s="55"/>
      <c r="BQ63" s="55"/>
      <c r="BR63" s="55"/>
      <c r="BS63" s="55"/>
      <c r="BT63" s="55"/>
      <c r="BU63" s="55"/>
      <c r="BV63" s="55"/>
      <c r="BW63" s="55"/>
      <c r="BX63" s="55"/>
      <c r="BY63" s="55"/>
    </row>
    <row r="64" spans="2:77" x14ac:dyDescent="0.2"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5"/>
      <c r="AL64" s="55"/>
      <c r="AM64" s="55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  <c r="AY64" s="55"/>
      <c r="AZ64" s="55"/>
      <c r="BA64" s="55"/>
      <c r="BB64" s="55"/>
      <c r="BC64" s="55"/>
      <c r="BD64" s="55"/>
      <c r="BE64" s="55"/>
      <c r="BF64" s="55"/>
      <c r="BG64" s="55"/>
      <c r="BH64" s="55"/>
      <c r="BI64" s="55"/>
      <c r="BJ64" s="55"/>
      <c r="BK64" s="55"/>
      <c r="BL64" s="55"/>
      <c r="BM64" s="55"/>
      <c r="BN64" s="55"/>
      <c r="BO64" s="55"/>
      <c r="BP64" s="55"/>
      <c r="BQ64" s="55"/>
      <c r="BR64" s="55"/>
      <c r="BS64" s="55"/>
      <c r="BT64" s="55"/>
      <c r="BU64" s="55"/>
      <c r="BV64" s="55"/>
      <c r="BW64" s="55"/>
      <c r="BX64" s="55"/>
      <c r="BY64" s="55"/>
    </row>
    <row r="65" spans="2:77" x14ac:dyDescent="0.2"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/>
      <c r="AL65" s="55"/>
      <c r="AM65" s="55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55"/>
      <c r="AZ65" s="55"/>
      <c r="BA65" s="55"/>
      <c r="BB65" s="55"/>
      <c r="BC65" s="55"/>
      <c r="BD65" s="55"/>
      <c r="BE65" s="55"/>
      <c r="BF65" s="55"/>
      <c r="BG65" s="55"/>
      <c r="BH65" s="55"/>
      <c r="BI65" s="55"/>
      <c r="BJ65" s="55"/>
      <c r="BK65" s="55"/>
      <c r="BL65" s="55"/>
      <c r="BM65" s="55"/>
      <c r="BN65" s="55"/>
      <c r="BO65" s="55"/>
      <c r="BP65" s="55"/>
      <c r="BQ65" s="55"/>
      <c r="BR65" s="55"/>
      <c r="BS65" s="55"/>
      <c r="BT65" s="55"/>
      <c r="BU65" s="55"/>
      <c r="BV65" s="55"/>
      <c r="BW65" s="55"/>
      <c r="BX65" s="55"/>
      <c r="BY65" s="55"/>
    </row>
    <row r="66" spans="2:77" x14ac:dyDescent="0.2"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/>
      <c r="AG66" s="55"/>
      <c r="AH66" s="55"/>
      <c r="AI66" s="55"/>
      <c r="AJ66" s="55"/>
      <c r="AK66" s="55"/>
      <c r="AL66" s="55"/>
      <c r="AM66" s="55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55"/>
      <c r="AZ66" s="55"/>
      <c r="BA66" s="55"/>
      <c r="BB66" s="55"/>
      <c r="BC66" s="55"/>
      <c r="BD66" s="55"/>
      <c r="BE66" s="55"/>
      <c r="BF66" s="55"/>
      <c r="BG66" s="55"/>
      <c r="BH66" s="55"/>
      <c r="BI66" s="55"/>
      <c r="BJ66" s="55"/>
      <c r="BK66" s="55"/>
      <c r="BL66" s="55"/>
      <c r="BM66" s="55"/>
      <c r="BN66" s="55"/>
      <c r="BO66" s="55"/>
      <c r="BP66" s="55"/>
      <c r="BQ66" s="55"/>
      <c r="BR66" s="55"/>
      <c r="BS66" s="55"/>
      <c r="BT66" s="55"/>
      <c r="BU66" s="55"/>
      <c r="BV66" s="55"/>
      <c r="BW66" s="55"/>
      <c r="BX66" s="55"/>
      <c r="BY66" s="55"/>
    </row>
    <row r="67" spans="2:77" x14ac:dyDescent="0.2"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5"/>
      <c r="AL67" s="55"/>
      <c r="AM67" s="55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55"/>
      <c r="AZ67" s="55"/>
      <c r="BA67" s="55"/>
      <c r="BB67" s="55"/>
      <c r="BC67" s="55"/>
      <c r="BD67" s="55"/>
      <c r="BE67" s="55"/>
      <c r="BF67" s="55"/>
      <c r="BG67" s="55"/>
      <c r="BH67" s="55"/>
      <c r="BI67" s="55"/>
      <c r="BJ67" s="55"/>
      <c r="BK67" s="55"/>
      <c r="BL67" s="55"/>
      <c r="BM67" s="55"/>
      <c r="BN67" s="55"/>
      <c r="BO67" s="55"/>
      <c r="BP67" s="55"/>
      <c r="BQ67" s="55"/>
      <c r="BR67" s="55"/>
      <c r="BS67" s="55"/>
      <c r="BT67" s="55"/>
      <c r="BU67" s="55"/>
      <c r="BV67" s="55"/>
      <c r="BW67" s="55"/>
      <c r="BX67" s="55"/>
      <c r="BY67" s="55"/>
    </row>
    <row r="68" spans="2:77" x14ac:dyDescent="0.2"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  <c r="AA68" s="55"/>
      <c r="AB68" s="55"/>
      <c r="AC68" s="55"/>
      <c r="AD68" s="55"/>
      <c r="AE68" s="55"/>
      <c r="AF68" s="55"/>
      <c r="AG68" s="55"/>
      <c r="AH68" s="55"/>
      <c r="AI68" s="55"/>
      <c r="AJ68" s="55"/>
      <c r="AK68" s="55"/>
      <c r="AL68" s="55"/>
      <c r="AM68" s="55"/>
      <c r="AN68" s="55"/>
      <c r="AO68" s="55"/>
      <c r="AP68" s="55"/>
      <c r="AQ68" s="55"/>
      <c r="AR68" s="55"/>
      <c r="AS68" s="55"/>
      <c r="AT68" s="55"/>
      <c r="AU68" s="55"/>
      <c r="AV68" s="55"/>
      <c r="AW68" s="55"/>
      <c r="AX68" s="55"/>
      <c r="AY68" s="55"/>
      <c r="AZ68" s="55"/>
      <c r="BA68" s="55"/>
      <c r="BB68" s="55"/>
      <c r="BC68" s="55"/>
      <c r="BD68" s="55"/>
      <c r="BE68" s="55"/>
      <c r="BF68" s="55"/>
      <c r="BG68" s="55"/>
      <c r="BH68" s="55"/>
      <c r="BI68" s="55"/>
      <c r="BJ68" s="55"/>
      <c r="BK68" s="55"/>
      <c r="BL68" s="55"/>
      <c r="BM68" s="55"/>
      <c r="BN68" s="55"/>
      <c r="BO68" s="55"/>
      <c r="BP68" s="55"/>
      <c r="BQ68" s="55"/>
      <c r="BR68" s="55"/>
      <c r="BS68" s="55"/>
      <c r="BT68" s="55"/>
      <c r="BU68" s="55"/>
      <c r="BV68" s="55"/>
      <c r="BW68" s="55"/>
      <c r="BX68" s="55"/>
      <c r="BY68" s="55"/>
    </row>
    <row r="69" spans="2:77" x14ac:dyDescent="0.2"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  <c r="AS69" s="55"/>
      <c r="AT69" s="55"/>
      <c r="AU69" s="55"/>
      <c r="AV69" s="55"/>
      <c r="AW69" s="55"/>
      <c r="AX69" s="55"/>
      <c r="AY69" s="55"/>
      <c r="AZ69" s="55"/>
      <c r="BA69" s="55"/>
      <c r="BB69" s="55"/>
      <c r="BC69" s="55"/>
      <c r="BD69" s="55"/>
      <c r="BE69" s="55"/>
      <c r="BF69" s="55"/>
      <c r="BG69" s="55"/>
      <c r="BH69" s="55"/>
      <c r="BI69" s="55"/>
      <c r="BJ69" s="55"/>
      <c r="BK69" s="55"/>
      <c r="BL69" s="55"/>
      <c r="BM69" s="55"/>
      <c r="BN69" s="55"/>
      <c r="BO69" s="55"/>
      <c r="BP69" s="55"/>
      <c r="BQ69" s="55"/>
      <c r="BR69" s="55"/>
      <c r="BS69" s="55"/>
      <c r="BT69" s="55"/>
      <c r="BU69" s="55"/>
      <c r="BV69" s="55"/>
      <c r="BW69" s="55"/>
      <c r="BX69" s="55"/>
      <c r="BY69" s="55"/>
    </row>
    <row r="70" spans="2:77" x14ac:dyDescent="0.2"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5"/>
      <c r="AB70" s="55"/>
      <c r="AC70" s="55"/>
      <c r="AD70" s="55"/>
      <c r="AE70" s="55"/>
      <c r="AF70" s="55"/>
      <c r="AG70" s="55"/>
      <c r="AH70" s="55"/>
      <c r="AI70" s="55"/>
      <c r="AJ70" s="55"/>
      <c r="AK70" s="55"/>
      <c r="AL70" s="55"/>
      <c r="AM70" s="55"/>
      <c r="AN70" s="55"/>
      <c r="AO70" s="55"/>
      <c r="AP70" s="55"/>
      <c r="AQ70" s="55"/>
      <c r="AR70" s="55"/>
      <c r="AS70" s="55"/>
      <c r="AT70" s="55"/>
      <c r="AU70" s="55"/>
      <c r="AV70" s="55"/>
      <c r="AW70" s="55"/>
      <c r="AX70" s="55"/>
      <c r="AY70" s="55"/>
      <c r="AZ70" s="55"/>
      <c r="BA70" s="55"/>
      <c r="BB70" s="55"/>
      <c r="BC70" s="55"/>
      <c r="BD70" s="55"/>
      <c r="BE70" s="55"/>
      <c r="BF70" s="55"/>
      <c r="BG70" s="55"/>
      <c r="BH70" s="55"/>
      <c r="BI70" s="55"/>
      <c r="BJ70" s="55"/>
      <c r="BK70" s="55"/>
      <c r="BL70" s="55"/>
      <c r="BM70" s="55"/>
      <c r="BN70" s="55"/>
      <c r="BO70" s="55"/>
      <c r="BP70" s="55"/>
      <c r="BQ70" s="55"/>
      <c r="BR70" s="55"/>
      <c r="BS70" s="55"/>
      <c r="BT70" s="55"/>
      <c r="BU70" s="55"/>
      <c r="BV70" s="55"/>
      <c r="BW70" s="55"/>
      <c r="BX70" s="55"/>
      <c r="BY70" s="55"/>
    </row>
    <row r="71" spans="2:77" x14ac:dyDescent="0.2"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5"/>
      <c r="AL71" s="55"/>
      <c r="AM71" s="55"/>
      <c r="AN71" s="55"/>
      <c r="AO71" s="55"/>
      <c r="AP71" s="55"/>
      <c r="AQ71" s="55"/>
      <c r="AR71" s="55"/>
      <c r="AS71" s="55"/>
      <c r="AT71" s="55"/>
      <c r="AU71" s="55"/>
      <c r="AV71" s="55"/>
      <c r="AW71" s="55"/>
      <c r="AX71" s="55"/>
      <c r="AY71" s="55"/>
      <c r="AZ71" s="55"/>
      <c r="BA71" s="55"/>
      <c r="BB71" s="55"/>
      <c r="BC71" s="55"/>
      <c r="BD71" s="55"/>
      <c r="BE71" s="55"/>
      <c r="BF71" s="55"/>
      <c r="BG71" s="55"/>
      <c r="BH71" s="55"/>
      <c r="BI71" s="55"/>
      <c r="BJ71" s="55"/>
      <c r="BK71" s="55"/>
      <c r="BL71" s="55"/>
      <c r="BM71" s="55"/>
      <c r="BN71" s="55"/>
      <c r="BO71" s="55"/>
      <c r="BP71" s="55"/>
      <c r="BQ71" s="55"/>
      <c r="BR71" s="55"/>
      <c r="BS71" s="55"/>
      <c r="BT71" s="55"/>
      <c r="BU71" s="55"/>
      <c r="BV71" s="55"/>
      <c r="BW71" s="55"/>
      <c r="BX71" s="55"/>
      <c r="BY71" s="55"/>
    </row>
    <row r="72" spans="2:77" x14ac:dyDescent="0.2"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5"/>
      <c r="AC72" s="55"/>
      <c r="AD72" s="55"/>
      <c r="AE72" s="55"/>
      <c r="AF72" s="55"/>
      <c r="AG72" s="55"/>
      <c r="AH72" s="55"/>
      <c r="AI72" s="55"/>
      <c r="AJ72" s="55"/>
      <c r="AK72" s="55"/>
      <c r="AL72" s="55"/>
      <c r="AM72" s="55"/>
      <c r="AN72" s="55"/>
      <c r="AO72" s="55"/>
      <c r="AP72" s="55"/>
      <c r="AQ72" s="55"/>
      <c r="AR72" s="55"/>
      <c r="AS72" s="55"/>
      <c r="AT72" s="55"/>
      <c r="AU72" s="55"/>
      <c r="AV72" s="55"/>
      <c r="AW72" s="55"/>
      <c r="AX72" s="55"/>
      <c r="AY72" s="55"/>
      <c r="AZ72" s="55"/>
      <c r="BA72" s="55"/>
      <c r="BB72" s="55"/>
      <c r="BC72" s="55"/>
      <c r="BD72" s="55"/>
      <c r="BE72" s="55"/>
      <c r="BF72" s="55"/>
      <c r="BG72" s="55"/>
      <c r="BH72" s="55"/>
      <c r="BI72" s="55"/>
      <c r="BJ72" s="55"/>
      <c r="BK72" s="55"/>
      <c r="BL72" s="55"/>
      <c r="BM72" s="55"/>
      <c r="BN72" s="55"/>
      <c r="BO72" s="55"/>
      <c r="BP72" s="55"/>
      <c r="BQ72" s="55"/>
      <c r="BR72" s="55"/>
      <c r="BS72" s="55"/>
      <c r="BT72" s="55"/>
      <c r="BU72" s="55"/>
      <c r="BV72" s="55"/>
      <c r="BW72" s="55"/>
      <c r="BX72" s="55"/>
      <c r="BY72" s="55"/>
    </row>
    <row r="73" spans="2:77" x14ac:dyDescent="0.2"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5"/>
      <c r="AL73" s="55"/>
      <c r="AM73" s="55"/>
      <c r="AN73" s="55"/>
      <c r="AO73" s="55"/>
      <c r="AP73" s="55"/>
      <c r="AQ73" s="55"/>
      <c r="AR73" s="55"/>
      <c r="AS73" s="55"/>
      <c r="AT73" s="55"/>
      <c r="AU73" s="55"/>
      <c r="AV73" s="55"/>
      <c r="AW73" s="55"/>
      <c r="AX73" s="55"/>
      <c r="AY73" s="55"/>
      <c r="AZ73" s="55"/>
      <c r="BA73" s="55"/>
      <c r="BB73" s="55"/>
      <c r="BC73" s="55"/>
      <c r="BD73" s="55"/>
      <c r="BE73" s="55"/>
      <c r="BF73" s="55"/>
      <c r="BG73" s="55"/>
      <c r="BH73" s="55"/>
      <c r="BI73" s="55"/>
      <c r="BJ73" s="55"/>
      <c r="BK73" s="55"/>
      <c r="BL73" s="55"/>
      <c r="BM73" s="55"/>
      <c r="BN73" s="55"/>
      <c r="BO73" s="55"/>
      <c r="BP73" s="55"/>
      <c r="BQ73" s="55"/>
      <c r="BR73" s="55"/>
      <c r="BS73" s="55"/>
      <c r="BT73" s="55"/>
      <c r="BU73" s="55"/>
      <c r="BV73" s="55"/>
      <c r="BW73" s="55"/>
      <c r="BX73" s="55"/>
      <c r="BY73" s="55"/>
    </row>
    <row r="74" spans="2:77" x14ac:dyDescent="0.2"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  <c r="AA74" s="55"/>
      <c r="AB74" s="55"/>
      <c r="AC74" s="55"/>
      <c r="AD74" s="55"/>
      <c r="AE74" s="55"/>
      <c r="AF74" s="55"/>
      <c r="AG74" s="55"/>
      <c r="AH74" s="55"/>
      <c r="AI74" s="55"/>
      <c r="AJ74" s="55"/>
      <c r="AK74" s="55"/>
      <c r="AL74" s="55"/>
      <c r="AM74" s="55"/>
      <c r="AN74" s="55"/>
      <c r="AO74" s="55"/>
      <c r="AP74" s="55"/>
      <c r="AQ74" s="55"/>
      <c r="AR74" s="55"/>
      <c r="AS74" s="55"/>
      <c r="AT74" s="55"/>
      <c r="AU74" s="55"/>
      <c r="AV74" s="55"/>
      <c r="AW74" s="55"/>
      <c r="AX74" s="55"/>
      <c r="AY74" s="55"/>
      <c r="AZ74" s="55"/>
      <c r="BA74" s="55"/>
      <c r="BB74" s="55"/>
      <c r="BC74" s="55"/>
      <c r="BD74" s="55"/>
      <c r="BE74" s="55"/>
      <c r="BF74" s="55"/>
      <c r="BG74" s="55"/>
      <c r="BH74" s="55"/>
      <c r="BI74" s="55"/>
      <c r="BJ74" s="55"/>
      <c r="BK74" s="55"/>
      <c r="BL74" s="55"/>
      <c r="BM74" s="55"/>
      <c r="BN74" s="55"/>
      <c r="BO74" s="55"/>
      <c r="BP74" s="55"/>
      <c r="BQ74" s="55"/>
      <c r="BR74" s="55"/>
      <c r="BS74" s="55"/>
      <c r="BT74" s="55"/>
      <c r="BU74" s="55"/>
      <c r="BV74" s="55"/>
      <c r="BW74" s="55"/>
      <c r="BX74" s="55"/>
      <c r="BY74" s="55"/>
    </row>
    <row r="75" spans="2:77" x14ac:dyDescent="0.2"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  <c r="AA75" s="55"/>
      <c r="AB75" s="55"/>
      <c r="AC75" s="55"/>
      <c r="AD75" s="55"/>
      <c r="AE75" s="55"/>
      <c r="AF75" s="55"/>
      <c r="AG75" s="55"/>
      <c r="AH75" s="55"/>
      <c r="AI75" s="55"/>
      <c r="AJ75" s="55"/>
      <c r="AK75" s="55"/>
      <c r="AL75" s="55"/>
      <c r="AM75" s="55"/>
      <c r="AN75" s="55"/>
      <c r="AO75" s="55"/>
      <c r="AP75" s="55"/>
      <c r="AQ75" s="55"/>
      <c r="AR75" s="55"/>
      <c r="AS75" s="55"/>
      <c r="AT75" s="55"/>
      <c r="AU75" s="55"/>
      <c r="AV75" s="55"/>
      <c r="AW75" s="55"/>
      <c r="AX75" s="55"/>
      <c r="AY75" s="55"/>
      <c r="AZ75" s="55"/>
      <c r="BA75" s="55"/>
      <c r="BB75" s="55"/>
      <c r="BC75" s="55"/>
      <c r="BD75" s="55"/>
      <c r="BE75" s="55"/>
      <c r="BF75" s="55"/>
      <c r="BG75" s="55"/>
      <c r="BH75" s="55"/>
      <c r="BI75" s="55"/>
      <c r="BJ75" s="55"/>
      <c r="BK75" s="55"/>
      <c r="BL75" s="55"/>
      <c r="BM75" s="55"/>
      <c r="BN75" s="55"/>
      <c r="BO75" s="55"/>
      <c r="BP75" s="55"/>
      <c r="BQ75" s="55"/>
      <c r="BR75" s="55"/>
      <c r="BS75" s="55"/>
      <c r="BT75" s="55"/>
      <c r="BU75" s="55"/>
      <c r="BV75" s="55"/>
      <c r="BW75" s="55"/>
      <c r="BX75" s="55"/>
      <c r="BY75" s="55"/>
    </row>
    <row r="76" spans="2:77" x14ac:dyDescent="0.2"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55"/>
      <c r="AF76" s="55"/>
      <c r="AG76" s="55"/>
      <c r="AH76" s="55"/>
      <c r="AI76" s="55"/>
      <c r="AJ76" s="55"/>
      <c r="AK76" s="55"/>
      <c r="AL76" s="55"/>
      <c r="AM76" s="55"/>
      <c r="AN76" s="55"/>
      <c r="AO76" s="55"/>
      <c r="AP76" s="55"/>
      <c r="AQ76" s="55"/>
      <c r="AR76" s="55"/>
      <c r="AS76" s="55"/>
      <c r="AT76" s="55"/>
      <c r="AU76" s="55"/>
      <c r="AV76" s="55"/>
      <c r="AW76" s="55"/>
      <c r="AX76" s="55"/>
      <c r="AY76" s="55"/>
      <c r="AZ76" s="55"/>
      <c r="BA76" s="55"/>
      <c r="BB76" s="55"/>
      <c r="BC76" s="55"/>
      <c r="BD76" s="55"/>
      <c r="BE76" s="55"/>
      <c r="BF76" s="55"/>
      <c r="BG76" s="55"/>
      <c r="BH76" s="55"/>
      <c r="BI76" s="55"/>
      <c r="BJ76" s="55"/>
      <c r="BK76" s="55"/>
      <c r="BL76" s="55"/>
      <c r="BM76" s="55"/>
      <c r="BN76" s="55"/>
      <c r="BO76" s="55"/>
      <c r="BP76" s="55"/>
      <c r="BQ76" s="55"/>
      <c r="BR76" s="55"/>
      <c r="BS76" s="55"/>
      <c r="BT76" s="55"/>
      <c r="BU76" s="55"/>
      <c r="BV76" s="55"/>
      <c r="BW76" s="55"/>
      <c r="BX76" s="55"/>
      <c r="BY76" s="55"/>
    </row>
    <row r="77" spans="2:77" x14ac:dyDescent="0.2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5"/>
      <c r="AL77" s="55"/>
      <c r="AM77" s="55"/>
      <c r="AN77" s="55"/>
      <c r="AO77" s="55"/>
      <c r="AP77" s="55"/>
      <c r="AQ77" s="55"/>
      <c r="AR77" s="55"/>
      <c r="AS77" s="55"/>
      <c r="AT77" s="55"/>
      <c r="AU77" s="55"/>
      <c r="AV77" s="55"/>
      <c r="AW77" s="55"/>
      <c r="AX77" s="55"/>
      <c r="AY77" s="55"/>
      <c r="AZ77" s="55"/>
      <c r="BA77" s="55"/>
      <c r="BB77" s="55"/>
      <c r="BC77" s="55"/>
      <c r="BD77" s="55"/>
      <c r="BE77" s="55"/>
      <c r="BF77" s="55"/>
      <c r="BG77" s="55"/>
      <c r="BH77" s="55"/>
      <c r="BI77" s="55"/>
      <c r="BJ77" s="55"/>
      <c r="BK77" s="55"/>
      <c r="BL77" s="55"/>
      <c r="BM77" s="55"/>
      <c r="BN77" s="55"/>
      <c r="BO77" s="55"/>
      <c r="BP77" s="55"/>
      <c r="BQ77" s="55"/>
      <c r="BR77" s="55"/>
      <c r="BS77" s="55"/>
      <c r="BT77" s="55"/>
      <c r="BU77" s="55"/>
      <c r="BV77" s="55"/>
      <c r="BW77" s="55"/>
      <c r="BX77" s="55"/>
      <c r="BY77" s="55"/>
    </row>
    <row r="78" spans="2:77" x14ac:dyDescent="0.2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55"/>
      <c r="AF78" s="55"/>
      <c r="AG78" s="55"/>
      <c r="AH78" s="55"/>
      <c r="AI78" s="55"/>
      <c r="AJ78" s="55"/>
      <c r="AK78" s="55"/>
      <c r="AL78" s="55"/>
      <c r="AM78" s="55"/>
      <c r="AN78" s="55"/>
      <c r="AO78" s="55"/>
      <c r="AP78" s="55"/>
      <c r="AQ78" s="55"/>
      <c r="AR78" s="55"/>
      <c r="AS78" s="55"/>
      <c r="AT78" s="55"/>
      <c r="AU78" s="55"/>
      <c r="AV78" s="55"/>
      <c r="AW78" s="55"/>
      <c r="AX78" s="55"/>
      <c r="AY78" s="55"/>
      <c r="AZ78" s="55"/>
      <c r="BA78" s="55"/>
      <c r="BB78" s="55"/>
      <c r="BC78" s="55"/>
      <c r="BD78" s="55"/>
      <c r="BE78" s="55"/>
      <c r="BF78" s="55"/>
      <c r="BG78" s="55"/>
      <c r="BH78" s="55"/>
      <c r="BI78" s="55"/>
      <c r="BJ78" s="55"/>
      <c r="BK78" s="55"/>
      <c r="BL78" s="55"/>
      <c r="BM78" s="55"/>
      <c r="BN78" s="55"/>
      <c r="BO78" s="55"/>
      <c r="BP78" s="55"/>
      <c r="BQ78" s="55"/>
      <c r="BR78" s="55"/>
      <c r="BS78" s="55"/>
      <c r="BT78" s="55"/>
      <c r="BU78" s="55"/>
      <c r="BV78" s="55"/>
      <c r="BW78" s="55"/>
      <c r="BX78" s="55"/>
      <c r="BY78" s="55"/>
    </row>
    <row r="79" spans="2:77" x14ac:dyDescent="0.2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5"/>
      <c r="AL79" s="55"/>
      <c r="AM79" s="55"/>
      <c r="AN79" s="55"/>
      <c r="AO79" s="55"/>
      <c r="AP79" s="55"/>
      <c r="AQ79" s="55"/>
      <c r="AR79" s="55"/>
      <c r="AS79" s="55"/>
      <c r="AT79" s="55"/>
      <c r="AU79" s="55"/>
      <c r="AV79" s="55"/>
      <c r="AW79" s="55"/>
      <c r="AX79" s="55"/>
      <c r="AY79" s="55"/>
      <c r="AZ79" s="55"/>
      <c r="BA79" s="55"/>
      <c r="BB79" s="55"/>
      <c r="BC79" s="55"/>
      <c r="BD79" s="55"/>
      <c r="BE79" s="55"/>
      <c r="BF79" s="55"/>
      <c r="BG79" s="55"/>
      <c r="BH79" s="55"/>
      <c r="BI79" s="55"/>
      <c r="BJ79" s="55"/>
      <c r="BK79" s="55"/>
      <c r="BL79" s="55"/>
      <c r="BM79" s="55"/>
      <c r="BN79" s="55"/>
      <c r="BO79" s="55"/>
      <c r="BP79" s="55"/>
      <c r="BQ79" s="55"/>
      <c r="BR79" s="55"/>
      <c r="BS79" s="55"/>
      <c r="BT79" s="55"/>
      <c r="BU79" s="55"/>
      <c r="BV79" s="55"/>
      <c r="BW79" s="55"/>
      <c r="BX79" s="55"/>
      <c r="BY79" s="55"/>
    </row>
    <row r="80" spans="2:77" x14ac:dyDescent="0.2"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5"/>
      <c r="AB80" s="55"/>
      <c r="AC80" s="55"/>
      <c r="AD80" s="55"/>
      <c r="AE80" s="55"/>
      <c r="AF80" s="55"/>
      <c r="AG80" s="55"/>
      <c r="AH80" s="55"/>
      <c r="AI80" s="55"/>
      <c r="AJ80" s="55"/>
      <c r="AK80" s="55"/>
      <c r="AL80" s="55"/>
      <c r="AM80" s="55"/>
      <c r="AN80" s="55"/>
      <c r="AO80" s="55"/>
      <c r="AP80" s="55"/>
      <c r="AQ80" s="55"/>
      <c r="AR80" s="55"/>
      <c r="AS80" s="55"/>
      <c r="AT80" s="55"/>
      <c r="AU80" s="55"/>
      <c r="AV80" s="55"/>
      <c r="AW80" s="55"/>
      <c r="AX80" s="55"/>
      <c r="AY80" s="55"/>
      <c r="AZ80" s="55"/>
      <c r="BA80" s="55"/>
      <c r="BB80" s="55"/>
      <c r="BC80" s="55"/>
      <c r="BD80" s="55"/>
      <c r="BE80" s="55"/>
      <c r="BF80" s="55"/>
      <c r="BG80" s="55"/>
      <c r="BH80" s="55"/>
      <c r="BI80" s="55"/>
      <c r="BJ80" s="55"/>
      <c r="BK80" s="55"/>
      <c r="BL80" s="55"/>
      <c r="BM80" s="55"/>
      <c r="BN80" s="55"/>
      <c r="BO80" s="55"/>
      <c r="BP80" s="55"/>
      <c r="BQ80" s="55"/>
      <c r="BR80" s="55"/>
      <c r="BS80" s="55"/>
      <c r="BT80" s="55"/>
      <c r="BU80" s="55"/>
      <c r="BV80" s="55"/>
      <c r="BW80" s="55"/>
      <c r="BX80" s="55"/>
      <c r="BY80" s="55"/>
    </row>
    <row r="81" spans="2:77" x14ac:dyDescent="0.2"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  <c r="AE81" s="55"/>
      <c r="AF81" s="55"/>
      <c r="AG81" s="55"/>
      <c r="AH81" s="55"/>
      <c r="AI81" s="55"/>
      <c r="AJ81" s="55"/>
      <c r="AK81" s="55"/>
      <c r="AL81" s="55"/>
      <c r="AM81" s="55"/>
      <c r="AN81" s="55"/>
      <c r="AO81" s="55"/>
      <c r="AP81" s="55"/>
      <c r="AQ81" s="55"/>
      <c r="AR81" s="55"/>
      <c r="AS81" s="55"/>
      <c r="AT81" s="55"/>
      <c r="AU81" s="55"/>
      <c r="AV81" s="55"/>
      <c r="AW81" s="55"/>
      <c r="AX81" s="55"/>
      <c r="AY81" s="55"/>
      <c r="AZ81" s="55"/>
      <c r="BA81" s="55"/>
      <c r="BB81" s="55"/>
      <c r="BC81" s="55"/>
      <c r="BD81" s="55"/>
      <c r="BE81" s="55"/>
      <c r="BF81" s="55"/>
      <c r="BG81" s="55"/>
      <c r="BH81" s="55"/>
      <c r="BI81" s="55"/>
      <c r="BJ81" s="55"/>
      <c r="BK81" s="55"/>
      <c r="BL81" s="55"/>
      <c r="BM81" s="55"/>
      <c r="BN81" s="55"/>
      <c r="BO81" s="55"/>
      <c r="BP81" s="55"/>
      <c r="BQ81" s="55"/>
      <c r="BR81" s="55"/>
      <c r="BS81" s="55"/>
      <c r="BT81" s="55"/>
      <c r="BU81" s="55"/>
      <c r="BV81" s="55"/>
      <c r="BW81" s="55"/>
      <c r="BX81" s="55"/>
      <c r="BY81" s="55"/>
    </row>
    <row r="82" spans="2:77" x14ac:dyDescent="0.2"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  <c r="X82" s="55"/>
      <c r="Y82" s="55"/>
      <c r="Z82" s="55"/>
      <c r="AA82" s="55"/>
      <c r="AB82" s="55"/>
      <c r="AC82" s="55"/>
      <c r="AD82" s="55"/>
      <c r="AE82" s="55"/>
      <c r="AF82" s="55"/>
      <c r="AG82" s="55"/>
      <c r="AH82" s="55"/>
      <c r="AI82" s="55"/>
      <c r="AJ82" s="55"/>
      <c r="AK82" s="55"/>
      <c r="AL82" s="55"/>
      <c r="AM82" s="55"/>
      <c r="AN82" s="55"/>
      <c r="AO82" s="55"/>
      <c r="AP82" s="55"/>
      <c r="AQ82" s="55"/>
      <c r="AR82" s="55"/>
      <c r="AS82" s="55"/>
      <c r="AT82" s="55"/>
      <c r="AU82" s="55"/>
      <c r="AV82" s="55"/>
      <c r="AW82" s="55"/>
      <c r="AX82" s="55"/>
      <c r="AY82" s="55"/>
      <c r="AZ82" s="55"/>
      <c r="BA82" s="55"/>
      <c r="BB82" s="55"/>
      <c r="BC82" s="55"/>
      <c r="BD82" s="55"/>
      <c r="BE82" s="55"/>
      <c r="BF82" s="55"/>
      <c r="BG82" s="55"/>
      <c r="BH82" s="55"/>
      <c r="BI82" s="55"/>
      <c r="BJ82" s="55"/>
      <c r="BK82" s="55"/>
      <c r="BL82" s="55"/>
      <c r="BM82" s="55"/>
      <c r="BN82" s="55"/>
      <c r="BO82" s="55"/>
      <c r="BP82" s="55"/>
      <c r="BQ82" s="55"/>
      <c r="BR82" s="55"/>
      <c r="BS82" s="55"/>
      <c r="BT82" s="55"/>
      <c r="BU82" s="55"/>
      <c r="BV82" s="55"/>
      <c r="BW82" s="55"/>
      <c r="BX82" s="55"/>
      <c r="BY82" s="55"/>
    </row>
    <row r="83" spans="2:77" x14ac:dyDescent="0.2">
      <c r="B83" s="55"/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  <c r="Q83" s="55"/>
      <c r="R83" s="55"/>
      <c r="S83" s="55"/>
      <c r="T83" s="55"/>
      <c r="U83" s="55"/>
      <c r="V83" s="55"/>
      <c r="W83" s="55"/>
      <c r="X83" s="55"/>
      <c r="Y83" s="55"/>
      <c r="Z83" s="55"/>
      <c r="AA83" s="55"/>
      <c r="AB83" s="55"/>
      <c r="AC83" s="55"/>
      <c r="AD83" s="55"/>
      <c r="AE83" s="55"/>
      <c r="AF83" s="55"/>
      <c r="AG83" s="55"/>
      <c r="AH83" s="55"/>
      <c r="AI83" s="55"/>
      <c r="AJ83" s="55"/>
      <c r="AK83" s="55"/>
      <c r="AL83" s="55"/>
      <c r="AM83" s="55"/>
      <c r="AN83" s="55"/>
      <c r="AO83" s="55"/>
      <c r="AP83" s="55"/>
      <c r="AQ83" s="55"/>
      <c r="AR83" s="55"/>
      <c r="AS83" s="55"/>
      <c r="AT83" s="55"/>
      <c r="AU83" s="55"/>
      <c r="AV83" s="55"/>
      <c r="AW83" s="55"/>
      <c r="AX83" s="55"/>
      <c r="AY83" s="55"/>
      <c r="AZ83" s="55"/>
      <c r="BA83" s="55"/>
      <c r="BB83" s="55"/>
      <c r="BC83" s="55"/>
      <c r="BD83" s="55"/>
      <c r="BE83" s="55"/>
      <c r="BF83" s="55"/>
      <c r="BG83" s="55"/>
      <c r="BH83" s="55"/>
      <c r="BI83" s="55"/>
      <c r="BJ83" s="55"/>
      <c r="BK83" s="55"/>
      <c r="BL83" s="55"/>
      <c r="BM83" s="55"/>
      <c r="BN83" s="55"/>
      <c r="BO83" s="55"/>
      <c r="BP83" s="55"/>
      <c r="BQ83" s="55"/>
      <c r="BR83" s="55"/>
      <c r="BS83" s="55"/>
      <c r="BT83" s="55"/>
      <c r="BU83" s="55"/>
      <c r="BV83" s="55"/>
      <c r="BW83" s="55"/>
      <c r="BX83" s="55"/>
      <c r="BY83" s="55"/>
    </row>
    <row r="84" spans="2:77" x14ac:dyDescent="0.2"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55"/>
      <c r="Q84" s="55"/>
      <c r="R84" s="55"/>
      <c r="S84" s="55"/>
      <c r="T84" s="55"/>
      <c r="U84" s="55"/>
      <c r="V84" s="55"/>
      <c r="W84" s="55"/>
      <c r="X84" s="55"/>
      <c r="Y84" s="55"/>
      <c r="Z84" s="55"/>
      <c r="AA84" s="55"/>
      <c r="AB84" s="55"/>
      <c r="AC84" s="55"/>
      <c r="AD84" s="55"/>
      <c r="AE84" s="55"/>
      <c r="AF84" s="55"/>
      <c r="AG84" s="55"/>
      <c r="AH84" s="55"/>
      <c r="AI84" s="55"/>
      <c r="AJ84" s="55"/>
      <c r="AK84" s="55"/>
      <c r="AL84" s="55"/>
      <c r="AM84" s="55"/>
      <c r="AN84" s="55"/>
      <c r="AO84" s="55"/>
      <c r="AP84" s="55"/>
      <c r="AQ84" s="55"/>
      <c r="AR84" s="55"/>
      <c r="AS84" s="55"/>
      <c r="AT84" s="55"/>
      <c r="AU84" s="55"/>
      <c r="AV84" s="55"/>
      <c r="AW84" s="55"/>
      <c r="AX84" s="55"/>
      <c r="AY84" s="55"/>
      <c r="AZ84" s="55"/>
      <c r="BA84" s="55"/>
      <c r="BB84" s="55"/>
      <c r="BC84" s="55"/>
      <c r="BD84" s="55"/>
      <c r="BE84" s="55"/>
      <c r="BF84" s="55"/>
      <c r="BG84" s="55"/>
      <c r="BH84" s="55"/>
      <c r="BI84" s="55"/>
      <c r="BJ84" s="55"/>
      <c r="BK84" s="55"/>
      <c r="BL84" s="55"/>
      <c r="BM84" s="55"/>
      <c r="BN84" s="55"/>
      <c r="BO84" s="55"/>
      <c r="BP84" s="55"/>
      <c r="BQ84" s="55"/>
      <c r="BR84" s="55"/>
      <c r="BS84" s="55"/>
      <c r="BT84" s="55"/>
      <c r="BU84" s="55"/>
      <c r="BV84" s="55"/>
      <c r="BW84" s="55"/>
      <c r="BX84" s="55"/>
      <c r="BY84" s="55"/>
    </row>
    <row r="85" spans="2:77" x14ac:dyDescent="0.2"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  <c r="Q85" s="55"/>
      <c r="R85" s="55"/>
      <c r="S85" s="55"/>
      <c r="T85" s="55"/>
      <c r="U85" s="55"/>
      <c r="V85" s="55"/>
      <c r="W85" s="55"/>
      <c r="X85" s="55"/>
      <c r="Y85" s="55"/>
      <c r="Z85" s="55"/>
      <c r="AA85" s="55"/>
      <c r="AB85" s="55"/>
      <c r="AC85" s="55"/>
      <c r="AD85" s="55"/>
      <c r="AE85" s="55"/>
      <c r="AF85" s="55"/>
      <c r="AG85" s="55"/>
      <c r="AH85" s="55"/>
      <c r="AI85" s="55"/>
      <c r="AJ85" s="55"/>
      <c r="AK85" s="55"/>
      <c r="AL85" s="55"/>
      <c r="AM85" s="55"/>
      <c r="AN85" s="55"/>
      <c r="AO85" s="55"/>
      <c r="AP85" s="55"/>
      <c r="AQ85" s="55"/>
      <c r="AR85" s="55"/>
      <c r="AS85" s="55"/>
      <c r="AT85" s="55"/>
      <c r="AU85" s="55"/>
      <c r="AV85" s="55"/>
      <c r="AW85" s="55"/>
      <c r="AX85" s="55"/>
      <c r="AY85" s="55"/>
      <c r="AZ85" s="55"/>
      <c r="BA85" s="55"/>
      <c r="BB85" s="55"/>
      <c r="BC85" s="55"/>
      <c r="BD85" s="55"/>
      <c r="BE85" s="55"/>
      <c r="BF85" s="55"/>
      <c r="BG85" s="55"/>
      <c r="BH85" s="55"/>
      <c r="BI85" s="55"/>
      <c r="BJ85" s="55"/>
      <c r="BK85" s="55"/>
      <c r="BL85" s="55"/>
      <c r="BM85" s="55"/>
      <c r="BN85" s="55"/>
      <c r="BO85" s="55"/>
      <c r="BP85" s="55"/>
      <c r="BQ85" s="55"/>
      <c r="BR85" s="55"/>
      <c r="BS85" s="55"/>
      <c r="BT85" s="55"/>
      <c r="BU85" s="55"/>
      <c r="BV85" s="55"/>
      <c r="BW85" s="55"/>
      <c r="BX85" s="55"/>
      <c r="BY85" s="55"/>
    </row>
    <row r="86" spans="2:77" x14ac:dyDescent="0.2">
      <c r="B86" s="55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  <c r="P86" s="55"/>
      <c r="Q86" s="55"/>
      <c r="R86" s="55"/>
      <c r="S86" s="55"/>
      <c r="T86" s="55"/>
      <c r="U86" s="55"/>
      <c r="V86" s="55"/>
      <c r="W86" s="55"/>
      <c r="X86" s="55"/>
      <c r="Y86" s="55"/>
      <c r="Z86" s="55"/>
      <c r="AA86" s="55"/>
      <c r="AB86" s="55"/>
      <c r="AC86" s="55"/>
      <c r="AD86" s="55"/>
      <c r="AE86" s="55"/>
      <c r="AF86" s="55"/>
      <c r="AG86" s="55"/>
      <c r="AH86" s="55"/>
      <c r="AI86" s="55"/>
      <c r="AJ86" s="55"/>
      <c r="AK86" s="55"/>
      <c r="AL86" s="55"/>
      <c r="AM86" s="55"/>
      <c r="AN86" s="55"/>
      <c r="AO86" s="55"/>
      <c r="AP86" s="55"/>
      <c r="AQ86" s="55"/>
      <c r="AR86" s="55"/>
      <c r="AS86" s="55"/>
      <c r="AT86" s="55"/>
      <c r="AU86" s="55"/>
      <c r="AV86" s="55"/>
      <c r="AW86" s="55"/>
      <c r="AX86" s="55"/>
      <c r="AY86" s="55"/>
      <c r="AZ86" s="55"/>
      <c r="BA86" s="55"/>
      <c r="BB86" s="55"/>
      <c r="BC86" s="55"/>
      <c r="BD86" s="55"/>
      <c r="BE86" s="55"/>
      <c r="BF86" s="55"/>
      <c r="BG86" s="55"/>
      <c r="BH86" s="55"/>
      <c r="BI86" s="55"/>
      <c r="BJ86" s="55"/>
      <c r="BK86" s="55"/>
      <c r="BL86" s="55"/>
      <c r="BM86" s="55"/>
      <c r="BN86" s="55"/>
      <c r="BO86" s="55"/>
      <c r="BP86" s="55"/>
      <c r="BQ86" s="55"/>
      <c r="BR86" s="55"/>
      <c r="BS86" s="55"/>
      <c r="BT86" s="55"/>
      <c r="BU86" s="55"/>
      <c r="BV86" s="55"/>
      <c r="BW86" s="55"/>
      <c r="BX86" s="55"/>
      <c r="BY86" s="55"/>
    </row>
    <row r="87" spans="2:77" x14ac:dyDescent="0.2"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55"/>
      <c r="W87" s="55"/>
      <c r="X87" s="55"/>
      <c r="Y87" s="55"/>
      <c r="Z87" s="55"/>
      <c r="AA87" s="55"/>
      <c r="AB87" s="55"/>
      <c r="AC87" s="55"/>
      <c r="AD87" s="55"/>
      <c r="AE87" s="55"/>
      <c r="AF87" s="55"/>
      <c r="AG87" s="55"/>
      <c r="AH87" s="55"/>
      <c r="AI87" s="55"/>
      <c r="AJ87" s="55"/>
      <c r="AK87" s="55"/>
      <c r="AL87" s="55"/>
      <c r="AM87" s="55"/>
      <c r="AN87" s="55"/>
      <c r="AO87" s="55"/>
      <c r="AP87" s="55"/>
      <c r="AQ87" s="55"/>
      <c r="AR87" s="55"/>
      <c r="AS87" s="55"/>
      <c r="AT87" s="55"/>
      <c r="AU87" s="55"/>
      <c r="AV87" s="55"/>
      <c r="AW87" s="55"/>
      <c r="AX87" s="55"/>
      <c r="AY87" s="55"/>
      <c r="AZ87" s="55"/>
      <c r="BA87" s="55"/>
      <c r="BB87" s="55"/>
      <c r="BC87" s="55"/>
      <c r="BD87" s="55"/>
      <c r="BE87" s="55"/>
      <c r="BF87" s="55"/>
      <c r="BG87" s="55"/>
      <c r="BH87" s="55"/>
      <c r="BI87" s="55"/>
      <c r="BJ87" s="55"/>
      <c r="BK87" s="55"/>
      <c r="BL87" s="55"/>
      <c r="BM87" s="55"/>
      <c r="BN87" s="55"/>
      <c r="BO87" s="55"/>
      <c r="BP87" s="55"/>
      <c r="BQ87" s="55"/>
      <c r="BR87" s="55"/>
      <c r="BS87" s="55"/>
      <c r="BT87" s="55"/>
      <c r="BU87" s="55"/>
      <c r="BV87" s="55"/>
      <c r="BW87" s="55"/>
      <c r="BX87" s="55"/>
      <c r="BY87" s="55"/>
    </row>
    <row r="88" spans="2:77" x14ac:dyDescent="0.2">
      <c r="B88" s="55"/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55"/>
      <c r="P88" s="55"/>
      <c r="Q88" s="55"/>
      <c r="R88" s="55"/>
      <c r="S88" s="55"/>
      <c r="T88" s="55"/>
      <c r="U88" s="55"/>
      <c r="V88" s="55"/>
      <c r="W88" s="55"/>
      <c r="X88" s="55"/>
      <c r="Y88" s="55"/>
      <c r="Z88" s="55"/>
      <c r="AA88" s="55"/>
      <c r="AB88" s="55"/>
      <c r="AC88" s="55"/>
      <c r="AD88" s="55"/>
      <c r="AE88" s="55"/>
      <c r="AF88" s="55"/>
      <c r="AG88" s="55"/>
      <c r="AH88" s="55"/>
      <c r="AI88" s="55"/>
      <c r="AJ88" s="55"/>
      <c r="AK88" s="55"/>
      <c r="AL88" s="55"/>
      <c r="AM88" s="55"/>
      <c r="AN88" s="55"/>
      <c r="AO88" s="55"/>
      <c r="AP88" s="55"/>
      <c r="AQ88" s="55"/>
      <c r="AR88" s="55"/>
      <c r="AS88" s="55"/>
      <c r="AT88" s="55"/>
      <c r="AU88" s="55"/>
      <c r="AV88" s="55"/>
      <c r="AW88" s="55"/>
      <c r="AX88" s="55"/>
      <c r="AY88" s="55"/>
      <c r="AZ88" s="55"/>
      <c r="BA88" s="55"/>
      <c r="BB88" s="55"/>
      <c r="BC88" s="55"/>
      <c r="BD88" s="55"/>
      <c r="BE88" s="55"/>
      <c r="BF88" s="55"/>
      <c r="BG88" s="55"/>
      <c r="BH88" s="55"/>
      <c r="BI88" s="55"/>
      <c r="BJ88" s="55"/>
      <c r="BK88" s="55"/>
      <c r="BL88" s="55"/>
      <c r="BM88" s="55"/>
      <c r="BN88" s="55"/>
      <c r="BO88" s="55"/>
      <c r="BP88" s="55"/>
      <c r="BQ88" s="55"/>
      <c r="BR88" s="55"/>
      <c r="BS88" s="55"/>
      <c r="BT88" s="55"/>
      <c r="BU88" s="55"/>
      <c r="BV88" s="55"/>
      <c r="BW88" s="55"/>
      <c r="BX88" s="55"/>
      <c r="BY88" s="55"/>
    </row>
    <row r="89" spans="2:77" x14ac:dyDescent="0.2"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  <c r="Q89" s="55"/>
      <c r="R89" s="55"/>
      <c r="S89" s="55"/>
      <c r="T89" s="55"/>
      <c r="U89" s="55"/>
      <c r="V89" s="55"/>
      <c r="W89" s="55"/>
      <c r="X89" s="55"/>
      <c r="Y89" s="55"/>
      <c r="Z89" s="55"/>
      <c r="AA89" s="55"/>
      <c r="AB89" s="55"/>
      <c r="AC89" s="55"/>
      <c r="AD89" s="55"/>
      <c r="AE89" s="55"/>
      <c r="AF89" s="55"/>
      <c r="AG89" s="55"/>
      <c r="AH89" s="55"/>
      <c r="AI89" s="55"/>
      <c r="AJ89" s="55"/>
      <c r="AK89" s="55"/>
      <c r="AL89" s="55"/>
      <c r="AM89" s="55"/>
      <c r="AN89" s="55"/>
      <c r="AO89" s="55"/>
      <c r="AP89" s="55"/>
      <c r="AQ89" s="55"/>
      <c r="AR89" s="55"/>
      <c r="AS89" s="55"/>
      <c r="AT89" s="55"/>
      <c r="AU89" s="55"/>
      <c r="AV89" s="55"/>
      <c r="AW89" s="55"/>
      <c r="AX89" s="55"/>
      <c r="AY89" s="55"/>
      <c r="AZ89" s="55"/>
      <c r="BA89" s="55"/>
      <c r="BB89" s="55"/>
      <c r="BC89" s="55"/>
      <c r="BD89" s="55"/>
      <c r="BE89" s="55"/>
      <c r="BF89" s="55"/>
      <c r="BG89" s="55"/>
      <c r="BH89" s="55"/>
      <c r="BI89" s="55"/>
      <c r="BJ89" s="55"/>
      <c r="BK89" s="55"/>
      <c r="BL89" s="55"/>
      <c r="BM89" s="55"/>
      <c r="BN89" s="55"/>
      <c r="BO89" s="55"/>
      <c r="BP89" s="55"/>
      <c r="BQ89" s="55"/>
      <c r="BR89" s="55"/>
      <c r="BS89" s="55"/>
      <c r="BT89" s="55"/>
      <c r="BU89" s="55"/>
      <c r="BV89" s="55"/>
      <c r="BW89" s="55"/>
      <c r="BX89" s="55"/>
      <c r="BY89" s="55"/>
    </row>
    <row r="90" spans="2:77" x14ac:dyDescent="0.2"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5"/>
      <c r="Q90" s="55"/>
      <c r="R90" s="55"/>
      <c r="S90" s="55"/>
      <c r="T90" s="55"/>
      <c r="U90" s="55"/>
      <c r="V90" s="55"/>
      <c r="W90" s="55"/>
      <c r="X90" s="55"/>
      <c r="Y90" s="55"/>
      <c r="Z90" s="55"/>
      <c r="AA90" s="55"/>
      <c r="AB90" s="55"/>
      <c r="AC90" s="55"/>
      <c r="AD90" s="55"/>
      <c r="AE90" s="55"/>
      <c r="AF90" s="55"/>
      <c r="AG90" s="55"/>
      <c r="AH90" s="55"/>
      <c r="AI90" s="55"/>
      <c r="AJ90" s="55"/>
      <c r="AK90" s="55"/>
      <c r="AL90" s="55"/>
      <c r="AM90" s="55"/>
      <c r="AN90" s="55"/>
      <c r="AO90" s="55"/>
      <c r="AP90" s="55"/>
      <c r="AQ90" s="55"/>
      <c r="AR90" s="55"/>
      <c r="AS90" s="55"/>
      <c r="AT90" s="55"/>
      <c r="AU90" s="55"/>
      <c r="AV90" s="55"/>
      <c r="AW90" s="55"/>
      <c r="AX90" s="55"/>
      <c r="AY90" s="55"/>
      <c r="AZ90" s="55"/>
      <c r="BA90" s="55"/>
      <c r="BB90" s="55"/>
      <c r="BC90" s="55"/>
      <c r="BD90" s="55"/>
      <c r="BE90" s="55"/>
      <c r="BF90" s="55"/>
      <c r="BG90" s="55"/>
      <c r="BH90" s="55"/>
      <c r="BI90" s="55"/>
      <c r="BJ90" s="55"/>
      <c r="BK90" s="55"/>
      <c r="BL90" s="55"/>
      <c r="BM90" s="55"/>
      <c r="BN90" s="55"/>
      <c r="BO90" s="55"/>
      <c r="BP90" s="55"/>
      <c r="BQ90" s="55"/>
      <c r="BR90" s="55"/>
      <c r="BS90" s="55"/>
      <c r="BT90" s="55"/>
      <c r="BU90" s="55"/>
      <c r="BV90" s="55"/>
      <c r="BW90" s="55"/>
      <c r="BX90" s="55"/>
      <c r="BY90" s="55"/>
    </row>
    <row r="91" spans="2:77" x14ac:dyDescent="0.2">
      <c r="B91" s="55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  <c r="Q91" s="55"/>
      <c r="R91" s="55"/>
      <c r="S91" s="55"/>
      <c r="T91" s="55"/>
      <c r="U91" s="55"/>
      <c r="V91" s="55"/>
      <c r="W91" s="55"/>
      <c r="X91" s="55"/>
      <c r="Y91" s="55"/>
      <c r="Z91" s="55"/>
      <c r="AA91" s="55"/>
      <c r="AB91" s="55"/>
      <c r="AC91" s="55"/>
      <c r="AD91" s="55"/>
      <c r="AE91" s="55"/>
      <c r="AF91" s="55"/>
      <c r="AG91" s="55"/>
      <c r="AH91" s="55"/>
      <c r="AI91" s="55"/>
      <c r="AJ91" s="55"/>
      <c r="AK91" s="55"/>
      <c r="AL91" s="55"/>
      <c r="AM91" s="55"/>
      <c r="AN91" s="55"/>
      <c r="AO91" s="55"/>
      <c r="AP91" s="55"/>
      <c r="AQ91" s="55"/>
      <c r="AR91" s="55"/>
      <c r="AS91" s="55"/>
      <c r="AT91" s="55"/>
      <c r="AU91" s="55"/>
      <c r="AV91" s="55"/>
      <c r="AW91" s="55"/>
      <c r="AX91" s="55"/>
      <c r="AY91" s="55"/>
      <c r="AZ91" s="55"/>
      <c r="BA91" s="55"/>
      <c r="BB91" s="55"/>
      <c r="BC91" s="55"/>
      <c r="BD91" s="55"/>
      <c r="BE91" s="55"/>
      <c r="BF91" s="55"/>
      <c r="BG91" s="55"/>
      <c r="BH91" s="55"/>
      <c r="BI91" s="55"/>
      <c r="BJ91" s="55"/>
      <c r="BK91" s="55"/>
      <c r="BL91" s="55"/>
      <c r="BM91" s="55"/>
      <c r="BN91" s="55"/>
      <c r="BO91" s="55"/>
      <c r="BP91" s="55"/>
      <c r="BQ91" s="55"/>
      <c r="BR91" s="55"/>
      <c r="BS91" s="55"/>
      <c r="BT91" s="55"/>
      <c r="BU91" s="55"/>
      <c r="BV91" s="55"/>
      <c r="BW91" s="55"/>
      <c r="BX91" s="55"/>
      <c r="BY91" s="55"/>
    </row>
    <row r="92" spans="2:77" x14ac:dyDescent="0.2"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  <c r="Q92" s="55"/>
      <c r="R92" s="55"/>
      <c r="S92" s="55"/>
      <c r="T92" s="55"/>
      <c r="U92" s="55"/>
      <c r="V92" s="55"/>
      <c r="W92" s="55"/>
      <c r="X92" s="55"/>
      <c r="Y92" s="55"/>
      <c r="Z92" s="55"/>
      <c r="AA92" s="55"/>
      <c r="AB92" s="55"/>
      <c r="AC92" s="55"/>
      <c r="AD92" s="55"/>
      <c r="AE92" s="55"/>
      <c r="AF92" s="55"/>
      <c r="AG92" s="55"/>
      <c r="AH92" s="55"/>
      <c r="AI92" s="55"/>
      <c r="AJ92" s="55"/>
      <c r="AK92" s="55"/>
      <c r="AL92" s="55"/>
      <c r="AM92" s="55"/>
      <c r="AN92" s="55"/>
      <c r="AO92" s="55"/>
      <c r="AP92" s="55"/>
      <c r="AQ92" s="55"/>
      <c r="AR92" s="55"/>
      <c r="AS92" s="55"/>
      <c r="AT92" s="55"/>
      <c r="AU92" s="55"/>
      <c r="AV92" s="55"/>
      <c r="AW92" s="55"/>
      <c r="AX92" s="55"/>
      <c r="AY92" s="55"/>
      <c r="AZ92" s="55"/>
      <c r="BA92" s="55"/>
      <c r="BB92" s="55"/>
      <c r="BC92" s="55"/>
      <c r="BD92" s="55"/>
      <c r="BE92" s="55"/>
      <c r="BF92" s="55"/>
      <c r="BG92" s="55"/>
      <c r="BH92" s="55"/>
      <c r="BI92" s="55"/>
      <c r="BJ92" s="55"/>
      <c r="BK92" s="55"/>
      <c r="BL92" s="55"/>
      <c r="BM92" s="55"/>
      <c r="BN92" s="55"/>
      <c r="BO92" s="55"/>
      <c r="BP92" s="55"/>
      <c r="BQ92" s="55"/>
      <c r="BR92" s="55"/>
      <c r="BS92" s="55"/>
      <c r="BT92" s="55"/>
      <c r="BU92" s="55"/>
      <c r="BV92" s="55"/>
      <c r="BW92" s="55"/>
      <c r="BX92" s="55"/>
      <c r="BY92" s="55"/>
    </row>
    <row r="93" spans="2:77" x14ac:dyDescent="0.2"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55"/>
      <c r="U93" s="55"/>
      <c r="V93" s="55"/>
      <c r="W93" s="55"/>
      <c r="X93" s="55"/>
      <c r="Y93" s="55"/>
      <c r="Z93" s="55"/>
      <c r="AA93" s="55"/>
      <c r="AB93" s="55"/>
      <c r="AC93" s="55"/>
      <c r="AD93" s="55"/>
      <c r="AE93" s="55"/>
      <c r="AF93" s="55"/>
      <c r="AG93" s="55"/>
      <c r="AH93" s="55"/>
      <c r="AI93" s="55"/>
      <c r="AJ93" s="55"/>
      <c r="AK93" s="55"/>
      <c r="AL93" s="55"/>
      <c r="AM93" s="55"/>
      <c r="AN93" s="55"/>
      <c r="AO93" s="55"/>
      <c r="AP93" s="55"/>
      <c r="AQ93" s="55"/>
      <c r="AR93" s="55"/>
      <c r="AS93" s="55"/>
      <c r="AT93" s="55"/>
      <c r="AU93" s="55"/>
      <c r="AV93" s="55"/>
      <c r="AW93" s="55"/>
      <c r="AX93" s="55"/>
      <c r="AY93" s="55"/>
      <c r="AZ93" s="55"/>
      <c r="BA93" s="55"/>
      <c r="BB93" s="55"/>
      <c r="BC93" s="55"/>
      <c r="BD93" s="55"/>
      <c r="BE93" s="55"/>
      <c r="BF93" s="55"/>
      <c r="BG93" s="55"/>
      <c r="BH93" s="55"/>
      <c r="BI93" s="55"/>
      <c r="BJ93" s="55"/>
      <c r="BK93" s="55"/>
      <c r="BL93" s="55"/>
      <c r="BM93" s="55"/>
      <c r="BN93" s="55"/>
      <c r="BO93" s="55"/>
      <c r="BP93" s="55"/>
      <c r="BQ93" s="55"/>
      <c r="BR93" s="55"/>
      <c r="BS93" s="55"/>
      <c r="BT93" s="55"/>
      <c r="BU93" s="55"/>
      <c r="BV93" s="55"/>
      <c r="BW93" s="55"/>
      <c r="BX93" s="55"/>
      <c r="BY93" s="55"/>
    </row>
    <row r="94" spans="2:77" x14ac:dyDescent="0.2"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  <c r="Q94" s="55"/>
      <c r="R94" s="55"/>
      <c r="S94" s="55"/>
      <c r="T94" s="55"/>
      <c r="U94" s="55"/>
      <c r="V94" s="55"/>
      <c r="W94" s="55"/>
      <c r="X94" s="55"/>
      <c r="Y94" s="55"/>
      <c r="Z94" s="55"/>
      <c r="AA94" s="55"/>
      <c r="AB94" s="55"/>
      <c r="AC94" s="55"/>
      <c r="AD94" s="55"/>
      <c r="AE94" s="55"/>
      <c r="AF94" s="55"/>
      <c r="AG94" s="55"/>
      <c r="AH94" s="55"/>
      <c r="AI94" s="55"/>
      <c r="AJ94" s="55"/>
      <c r="AK94" s="55"/>
      <c r="AL94" s="55"/>
      <c r="AM94" s="55"/>
      <c r="AN94" s="55"/>
      <c r="AO94" s="55"/>
      <c r="AP94" s="55"/>
      <c r="AQ94" s="55"/>
      <c r="AR94" s="55"/>
      <c r="AS94" s="55"/>
      <c r="AT94" s="55"/>
      <c r="AU94" s="55"/>
      <c r="AV94" s="55"/>
      <c r="AW94" s="55"/>
      <c r="AX94" s="55"/>
      <c r="AY94" s="55"/>
      <c r="AZ94" s="55"/>
      <c r="BA94" s="55"/>
      <c r="BB94" s="55"/>
      <c r="BC94" s="55"/>
      <c r="BD94" s="55"/>
      <c r="BE94" s="55"/>
      <c r="BF94" s="55"/>
      <c r="BG94" s="55"/>
      <c r="BH94" s="55"/>
      <c r="BI94" s="55"/>
      <c r="BJ94" s="55"/>
      <c r="BK94" s="55"/>
      <c r="BL94" s="55"/>
      <c r="BM94" s="55"/>
      <c r="BN94" s="55"/>
      <c r="BO94" s="55"/>
      <c r="BP94" s="55"/>
      <c r="BQ94" s="55"/>
      <c r="BR94" s="55"/>
      <c r="BS94" s="55"/>
      <c r="BT94" s="55"/>
      <c r="BU94" s="55"/>
      <c r="BV94" s="55"/>
      <c r="BW94" s="55"/>
      <c r="BX94" s="55"/>
      <c r="BY94" s="55"/>
    </row>
    <row r="95" spans="2:77" x14ac:dyDescent="0.2"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55"/>
      <c r="U95" s="55"/>
      <c r="V95" s="55"/>
      <c r="W95" s="55"/>
      <c r="X95" s="55"/>
      <c r="Y95" s="55"/>
      <c r="Z95" s="55"/>
      <c r="AA95" s="55"/>
      <c r="AB95" s="55"/>
      <c r="AC95" s="55"/>
      <c r="AD95" s="55"/>
      <c r="AE95" s="55"/>
      <c r="AF95" s="55"/>
      <c r="AG95" s="55"/>
      <c r="AH95" s="55"/>
      <c r="AI95" s="55"/>
      <c r="AJ95" s="55"/>
      <c r="AK95" s="55"/>
      <c r="AL95" s="55"/>
      <c r="AM95" s="55"/>
      <c r="AN95" s="55"/>
      <c r="AO95" s="55"/>
      <c r="AP95" s="55"/>
      <c r="AQ95" s="55"/>
      <c r="AR95" s="55"/>
      <c r="AS95" s="55"/>
      <c r="AT95" s="55"/>
      <c r="AU95" s="55"/>
      <c r="AV95" s="55"/>
      <c r="AW95" s="55"/>
      <c r="AX95" s="55"/>
      <c r="AY95" s="55"/>
      <c r="AZ95" s="55"/>
      <c r="BA95" s="55"/>
      <c r="BB95" s="55"/>
      <c r="BC95" s="55"/>
      <c r="BD95" s="55"/>
      <c r="BE95" s="55"/>
      <c r="BF95" s="55"/>
      <c r="BG95" s="55"/>
      <c r="BH95" s="55"/>
      <c r="BI95" s="55"/>
      <c r="BJ95" s="55"/>
      <c r="BK95" s="55"/>
      <c r="BL95" s="55"/>
      <c r="BM95" s="55"/>
      <c r="BN95" s="55"/>
      <c r="BO95" s="55"/>
      <c r="BP95" s="55"/>
      <c r="BQ95" s="55"/>
      <c r="BR95" s="55"/>
      <c r="BS95" s="55"/>
      <c r="BT95" s="55"/>
      <c r="BU95" s="55"/>
      <c r="BV95" s="55"/>
      <c r="BW95" s="55"/>
      <c r="BX95" s="55"/>
      <c r="BY95" s="55"/>
    </row>
    <row r="96" spans="2:77" x14ac:dyDescent="0.2"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  <c r="Q96" s="55"/>
      <c r="R96" s="55"/>
      <c r="S96" s="55"/>
      <c r="T96" s="55"/>
      <c r="U96" s="55"/>
      <c r="V96" s="55"/>
      <c r="W96" s="55"/>
      <c r="X96" s="55"/>
      <c r="Y96" s="55"/>
      <c r="Z96" s="55"/>
      <c r="AA96" s="55"/>
      <c r="AB96" s="55"/>
      <c r="AC96" s="55"/>
      <c r="AD96" s="55"/>
      <c r="AE96" s="55"/>
      <c r="AF96" s="55"/>
      <c r="AG96" s="55"/>
      <c r="AH96" s="55"/>
      <c r="AI96" s="55"/>
      <c r="AJ96" s="55"/>
      <c r="AK96" s="55"/>
      <c r="AL96" s="55"/>
      <c r="AM96" s="55"/>
      <c r="AN96" s="55"/>
      <c r="AO96" s="55"/>
      <c r="AP96" s="55"/>
      <c r="AQ96" s="55"/>
      <c r="AR96" s="55"/>
      <c r="AS96" s="55"/>
      <c r="AT96" s="55"/>
      <c r="AU96" s="55"/>
      <c r="AV96" s="55"/>
      <c r="AW96" s="55"/>
      <c r="AX96" s="55"/>
      <c r="AY96" s="55"/>
      <c r="AZ96" s="55"/>
      <c r="BA96" s="55"/>
      <c r="BB96" s="55"/>
      <c r="BC96" s="55"/>
      <c r="BD96" s="55"/>
      <c r="BE96" s="55"/>
      <c r="BF96" s="55"/>
      <c r="BG96" s="55"/>
      <c r="BH96" s="55"/>
      <c r="BI96" s="55"/>
      <c r="BJ96" s="55"/>
      <c r="BK96" s="55"/>
      <c r="BL96" s="55"/>
      <c r="BM96" s="55"/>
      <c r="BN96" s="55"/>
      <c r="BO96" s="55"/>
      <c r="BP96" s="55"/>
      <c r="BQ96" s="55"/>
      <c r="BR96" s="55"/>
      <c r="BS96" s="55"/>
      <c r="BT96" s="55"/>
      <c r="BU96" s="55"/>
      <c r="BV96" s="55"/>
      <c r="BW96" s="55"/>
      <c r="BX96" s="55"/>
      <c r="BY96" s="55"/>
    </row>
    <row r="97" spans="2:77" x14ac:dyDescent="0.2"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55"/>
      <c r="U97" s="55"/>
      <c r="V97" s="55"/>
      <c r="W97" s="55"/>
      <c r="X97" s="55"/>
      <c r="Y97" s="55"/>
      <c r="Z97" s="55"/>
      <c r="AA97" s="55"/>
      <c r="AB97" s="55"/>
      <c r="AC97" s="55"/>
      <c r="AD97" s="55"/>
      <c r="AE97" s="55"/>
      <c r="AF97" s="55"/>
      <c r="AG97" s="55"/>
      <c r="AH97" s="55"/>
      <c r="AI97" s="55"/>
      <c r="AJ97" s="55"/>
      <c r="AK97" s="55"/>
      <c r="AL97" s="55"/>
      <c r="AM97" s="55"/>
      <c r="AN97" s="55"/>
      <c r="AO97" s="55"/>
      <c r="AP97" s="55"/>
      <c r="AQ97" s="55"/>
      <c r="AR97" s="55"/>
      <c r="AS97" s="55"/>
      <c r="AT97" s="55"/>
      <c r="AU97" s="55"/>
      <c r="AV97" s="55"/>
      <c r="AW97" s="55"/>
      <c r="AX97" s="55"/>
      <c r="AY97" s="55"/>
      <c r="AZ97" s="55"/>
      <c r="BA97" s="55"/>
      <c r="BB97" s="55"/>
      <c r="BC97" s="55"/>
      <c r="BD97" s="55"/>
      <c r="BE97" s="55"/>
      <c r="BF97" s="55"/>
      <c r="BG97" s="55"/>
      <c r="BH97" s="55"/>
      <c r="BI97" s="55"/>
      <c r="BJ97" s="55"/>
      <c r="BK97" s="55"/>
      <c r="BL97" s="55"/>
      <c r="BM97" s="55"/>
      <c r="BN97" s="55"/>
      <c r="BO97" s="55"/>
      <c r="BP97" s="55"/>
      <c r="BQ97" s="55"/>
      <c r="BR97" s="55"/>
      <c r="BS97" s="55"/>
      <c r="BT97" s="55"/>
      <c r="BU97" s="55"/>
      <c r="BV97" s="55"/>
      <c r="BW97" s="55"/>
      <c r="BX97" s="55"/>
      <c r="BY97" s="55"/>
    </row>
    <row r="98" spans="2:77" x14ac:dyDescent="0.2">
      <c r="B98" s="55"/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5"/>
      <c r="Q98" s="55"/>
      <c r="R98" s="55"/>
      <c r="S98" s="55"/>
      <c r="T98" s="55"/>
      <c r="U98" s="55"/>
      <c r="V98" s="55"/>
      <c r="W98" s="55"/>
      <c r="X98" s="55"/>
      <c r="Y98" s="55"/>
      <c r="Z98" s="55"/>
      <c r="AA98" s="55"/>
      <c r="AB98" s="55"/>
      <c r="AC98" s="55"/>
      <c r="AD98" s="55"/>
      <c r="AE98" s="55"/>
      <c r="AF98" s="55"/>
      <c r="AG98" s="55"/>
      <c r="AH98" s="55"/>
      <c r="AI98" s="55"/>
      <c r="AJ98" s="55"/>
      <c r="AK98" s="55"/>
      <c r="AL98" s="55"/>
      <c r="AM98" s="55"/>
      <c r="AN98" s="55"/>
      <c r="AO98" s="55"/>
      <c r="AP98" s="55"/>
      <c r="AQ98" s="55"/>
      <c r="AR98" s="55"/>
      <c r="AS98" s="55"/>
      <c r="AT98" s="55"/>
      <c r="AU98" s="55"/>
      <c r="AV98" s="55"/>
      <c r="AW98" s="55"/>
      <c r="AX98" s="55"/>
      <c r="AY98" s="55"/>
      <c r="AZ98" s="55"/>
      <c r="BA98" s="55"/>
      <c r="BB98" s="55"/>
      <c r="BC98" s="55"/>
      <c r="BD98" s="55"/>
      <c r="BE98" s="55"/>
      <c r="BF98" s="55"/>
      <c r="BG98" s="55"/>
      <c r="BH98" s="55"/>
      <c r="BI98" s="55"/>
      <c r="BJ98" s="55"/>
      <c r="BK98" s="55"/>
      <c r="BL98" s="55"/>
      <c r="BM98" s="55"/>
      <c r="BN98" s="55"/>
      <c r="BO98" s="55"/>
      <c r="BP98" s="55"/>
      <c r="BQ98" s="55"/>
      <c r="BR98" s="55"/>
      <c r="BS98" s="55"/>
      <c r="BT98" s="55"/>
      <c r="BU98" s="55"/>
      <c r="BV98" s="55"/>
      <c r="BW98" s="55"/>
      <c r="BX98" s="55"/>
      <c r="BY98" s="55"/>
    </row>
    <row r="99" spans="2:77" x14ac:dyDescent="0.2">
      <c r="B99" s="55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  <c r="Q99" s="55"/>
      <c r="R99" s="55"/>
      <c r="S99" s="55"/>
      <c r="T99" s="55"/>
      <c r="U99" s="55"/>
      <c r="V99" s="55"/>
      <c r="W99" s="55"/>
      <c r="X99" s="55"/>
      <c r="Y99" s="55"/>
      <c r="Z99" s="55"/>
      <c r="AA99" s="55"/>
      <c r="AB99" s="55"/>
      <c r="AC99" s="55"/>
      <c r="AD99" s="55"/>
      <c r="AE99" s="55"/>
      <c r="AF99" s="55"/>
      <c r="AG99" s="55"/>
      <c r="AH99" s="55"/>
      <c r="AI99" s="55"/>
      <c r="AJ99" s="55"/>
      <c r="AK99" s="55"/>
      <c r="AL99" s="55"/>
      <c r="AM99" s="55"/>
      <c r="AN99" s="55"/>
      <c r="AO99" s="55"/>
      <c r="AP99" s="55"/>
      <c r="AQ99" s="55"/>
      <c r="AR99" s="55"/>
      <c r="AS99" s="55"/>
      <c r="AT99" s="55"/>
      <c r="AU99" s="55"/>
      <c r="AV99" s="55"/>
      <c r="AW99" s="55"/>
      <c r="AX99" s="55"/>
      <c r="AY99" s="55"/>
      <c r="AZ99" s="55"/>
      <c r="BA99" s="55"/>
      <c r="BB99" s="55"/>
      <c r="BC99" s="55"/>
      <c r="BD99" s="55"/>
      <c r="BE99" s="55"/>
      <c r="BF99" s="55"/>
      <c r="BG99" s="55"/>
      <c r="BH99" s="55"/>
      <c r="BI99" s="55"/>
      <c r="BJ99" s="55"/>
      <c r="BK99" s="55"/>
      <c r="BL99" s="55"/>
      <c r="BM99" s="55"/>
      <c r="BN99" s="55"/>
      <c r="BO99" s="55"/>
      <c r="BP99" s="55"/>
      <c r="BQ99" s="55"/>
      <c r="BR99" s="55"/>
      <c r="BS99" s="55"/>
      <c r="BT99" s="55"/>
      <c r="BU99" s="55"/>
      <c r="BV99" s="55"/>
      <c r="BW99" s="55"/>
      <c r="BX99" s="55"/>
      <c r="BY99" s="55"/>
    </row>
    <row r="100" spans="2:77" x14ac:dyDescent="0.2">
      <c r="B100" s="55"/>
      <c r="C100" s="55">
        <v>2019</v>
      </c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  <c r="Q100" s="55"/>
      <c r="R100" s="55"/>
      <c r="S100" s="55"/>
      <c r="T100" s="55"/>
      <c r="U100" s="55"/>
      <c r="V100" s="55"/>
      <c r="W100" s="55"/>
      <c r="X100" s="55"/>
      <c r="Y100" s="55"/>
      <c r="Z100" s="55"/>
      <c r="AA100" s="55"/>
      <c r="AB100" s="55"/>
      <c r="AC100" s="55"/>
      <c r="AD100" s="55"/>
      <c r="AE100" s="55"/>
      <c r="AF100" s="55"/>
      <c r="AG100" s="55"/>
      <c r="AH100" s="55"/>
      <c r="AI100" s="55"/>
      <c r="AJ100" s="55"/>
      <c r="AK100" s="55"/>
      <c r="AL100" s="55"/>
      <c r="AM100" s="55"/>
      <c r="AN100" s="55"/>
      <c r="AO100" s="55"/>
      <c r="AP100" s="55"/>
      <c r="AQ100" s="55"/>
      <c r="AR100" s="55"/>
      <c r="AS100" s="55"/>
      <c r="AT100" s="55"/>
      <c r="AU100" s="55"/>
      <c r="AV100" s="55"/>
      <c r="AW100" s="55"/>
      <c r="AX100" s="55"/>
      <c r="AY100" s="55"/>
      <c r="AZ100" s="55"/>
      <c r="BA100" s="55"/>
      <c r="BB100" s="55"/>
      <c r="BC100" s="55"/>
      <c r="BD100" s="55"/>
      <c r="BE100" s="55"/>
      <c r="BF100" s="55"/>
      <c r="BG100" s="55"/>
      <c r="BH100" s="55"/>
      <c r="BI100" s="55"/>
      <c r="BJ100" s="55"/>
      <c r="BK100" s="55"/>
      <c r="BL100" s="55"/>
      <c r="BM100" s="55"/>
      <c r="BN100" s="55"/>
      <c r="BO100" s="55"/>
      <c r="BP100" s="55"/>
      <c r="BQ100" s="55"/>
      <c r="BR100" s="55"/>
      <c r="BS100" s="55"/>
      <c r="BT100" s="55"/>
      <c r="BU100" s="55"/>
      <c r="BV100" s="55"/>
      <c r="BW100" s="55"/>
      <c r="BX100" s="55"/>
      <c r="BY100" s="55"/>
    </row>
    <row r="101" spans="2:77" x14ac:dyDescent="0.2">
      <c r="C101" s="55">
        <v>2020</v>
      </c>
    </row>
    <row r="102" spans="2:77" x14ac:dyDescent="0.2">
      <c r="C102" s="55">
        <v>2021</v>
      </c>
    </row>
    <row r="103" spans="2:77" x14ac:dyDescent="0.2">
      <c r="C103" s="55">
        <v>2022</v>
      </c>
    </row>
    <row r="104" spans="2:77" x14ac:dyDescent="0.2">
      <c r="C104" s="55">
        <v>2023</v>
      </c>
    </row>
    <row r="105" spans="2:77" x14ac:dyDescent="0.2">
      <c r="C105" s="55">
        <v>2024</v>
      </c>
    </row>
    <row r="106" spans="2:77" x14ac:dyDescent="0.2">
      <c r="C106" s="55">
        <v>2025</v>
      </c>
    </row>
    <row r="107" spans="2:77" x14ac:dyDescent="0.2">
      <c r="C107" s="55">
        <v>2026</v>
      </c>
    </row>
    <row r="108" spans="2:77" x14ac:dyDescent="0.2">
      <c r="C108" s="55">
        <v>2027</v>
      </c>
    </row>
    <row r="109" spans="2:77" x14ac:dyDescent="0.2">
      <c r="C109" s="55">
        <v>2028</v>
      </c>
    </row>
    <row r="110" spans="2:77" x14ac:dyDescent="0.2">
      <c r="C110" s="55">
        <v>2029</v>
      </c>
    </row>
    <row r="111" spans="2:77" x14ac:dyDescent="0.2">
      <c r="C111" s="55">
        <v>2030</v>
      </c>
    </row>
    <row r="112" spans="2:77" x14ac:dyDescent="0.2">
      <c r="C112" s="55">
        <v>2031</v>
      </c>
    </row>
    <row r="113" spans="3:3" x14ac:dyDescent="0.2">
      <c r="C113" s="55">
        <v>2032</v>
      </c>
    </row>
    <row r="114" spans="3:3" x14ac:dyDescent="0.2">
      <c r="C114" s="55"/>
    </row>
    <row r="115" spans="3:3" x14ac:dyDescent="0.2">
      <c r="C115" s="55">
        <v>1</v>
      </c>
    </row>
    <row r="116" spans="3:3" x14ac:dyDescent="0.2">
      <c r="C116" s="55">
        <v>2</v>
      </c>
    </row>
    <row r="117" spans="3:3" x14ac:dyDescent="0.2">
      <c r="C117" s="55">
        <v>3</v>
      </c>
    </row>
    <row r="118" spans="3:3" x14ac:dyDescent="0.2">
      <c r="C118" s="55">
        <v>4</v>
      </c>
    </row>
    <row r="119" spans="3:3" x14ac:dyDescent="0.2">
      <c r="C119" s="55">
        <v>5</v>
      </c>
    </row>
    <row r="120" spans="3:3" x14ac:dyDescent="0.2">
      <c r="C120" s="55">
        <v>6</v>
      </c>
    </row>
    <row r="121" spans="3:3" x14ac:dyDescent="0.2">
      <c r="C121" s="55">
        <v>7</v>
      </c>
    </row>
    <row r="122" spans="3:3" x14ac:dyDescent="0.2">
      <c r="C122" s="55">
        <v>8</v>
      </c>
    </row>
    <row r="123" spans="3:3" x14ac:dyDescent="0.2">
      <c r="C123" s="55">
        <v>9</v>
      </c>
    </row>
    <row r="124" spans="3:3" x14ac:dyDescent="0.2">
      <c r="C124" s="55">
        <v>10</v>
      </c>
    </row>
    <row r="125" spans="3:3" x14ac:dyDescent="0.2">
      <c r="C125" s="55">
        <v>11</v>
      </c>
    </row>
    <row r="126" spans="3:3" x14ac:dyDescent="0.2">
      <c r="C126" s="55">
        <v>12</v>
      </c>
    </row>
  </sheetData>
  <mergeCells count="20">
    <mergeCell ref="B17:C17"/>
    <mergeCell ref="B20:C20"/>
    <mergeCell ref="B22:C22"/>
    <mergeCell ref="B24:C24"/>
    <mergeCell ref="E6:F6"/>
    <mergeCell ref="E11:F11"/>
    <mergeCell ref="K6:M6"/>
    <mergeCell ref="H13:J13"/>
    <mergeCell ref="B6:C6"/>
    <mergeCell ref="H14:J14"/>
    <mergeCell ref="H15:J15"/>
    <mergeCell ref="H16:J16"/>
    <mergeCell ref="H17:J17"/>
    <mergeCell ref="H18:J18"/>
    <mergeCell ref="H24:J24"/>
    <mergeCell ref="H19:J19"/>
    <mergeCell ref="H20:J20"/>
    <mergeCell ref="H21:J21"/>
    <mergeCell ref="H22:J22"/>
    <mergeCell ref="H23:J23"/>
  </mergeCells>
  <dataValidations count="2">
    <dataValidation type="list" allowBlank="1" showInputMessage="1" showErrorMessage="1" sqref="F8" xr:uid="{9243E9FE-40BF-4504-B860-CA9C4C64E59C}">
      <formula1>$C$100:$C$113</formula1>
    </dataValidation>
    <dataValidation type="list" allowBlank="1" showInputMessage="1" showErrorMessage="1" sqref="F9" xr:uid="{4517FBF5-5CDE-4A6C-98D6-83B822E5DF82}">
      <formula1>$C$115:$C$126</formula1>
    </dataValidation>
  </dataValidations>
  <pageMargins left="0.511811024" right="0.511811024" top="0.78740157499999996" bottom="0.78740157499999996" header="0.31496062000000002" footer="0.31496062000000002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3" name="Check Box 1">
              <controlPr defaultSize="0" autoFill="0" autoLine="0" autoPict="0">
                <anchor moveWithCells="1">
                  <from>
                    <xdr:col>1</xdr:col>
                    <xdr:colOff>285750</xdr:colOff>
                    <xdr:row>20</xdr:row>
                    <xdr:rowOff>28575</xdr:rowOff>
                  </from>
                  <to>
                    <xdr:col>2</xdr:col>
                    <xdr:colOff>590550</xdr:colOff>
                    <xdr:row>20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4" name="Group Box 2">
              <controlPr defaultSize="0" autoFill="0" autoPict="0">
                <anchor moveWithCells="1">
                  <from>
                    <xdr:col>1</xdr:col>
                    <xdr:colOff>9525</xdr:colOff>
                    <xdr:row>24</xdr:row>
                    <xdr:rowOff>19050</xdr:rowOff>
                  </from>
                  <to>
                    <xdr:col>2</xdr:col>
                    <xdr:colOff>838200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5" name="Option Button 3">
              <controlPr defaultSize="0" autoFill="0" autoLine="0" autoPict="0">
                <anchor moveWithCells="1">
                  <from>
                    <xdr:col>1</xdr:col>
                    <xdr:colOff>295275</xdr:colOff>
                    <xdr:row>24</xdr:row>
                    <xdr:rowOff>171450</xdr:rowOff>
                  </from>
                  <to>
                    <xdr:col>2</xdr:col>
                    <xdr:colOff>304800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6" name="Option Button 4">
              <controlPr defaultSize="0" autoFill="0" autoLine="0" autoPict="0">
                <anchor moveWithCells="1">
                  <from>
                    <xdr:col>1</xdr:col>
                    <xdr:colOff>295275</xdr:colOff>
                    <xdr:row>26</xdr:row>
                    <xdr:rowOff>57150</xdr:rowOff>
                  </from>
                  <to>
                    <xdr:col>2</xdr:col>
                    <xdr:colOff>304800</xdr:colOff>
                    <xdr:row>27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7" name="Option Button 5">
              <controlPr defaultSize="0" autoFill="0" autoLine="0" autoPict="0">
                <anchor moveWithCells="1">
                  <from>
                    <xdr:col>1</xdr:col>
                    <xdr:colOff>295275</xdr:colOff>
                    <xdr:row>27</xdr:row>
                    <xdr:rowOff>133350</xdr:rowOff>
                  </from>
                  <to>
                    <xdr:col>2</xdr:col>
                    <xdr:colOff>762000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4" r:id="rId8" name="Group Box 6">
              <controlPr defaultSize="0" autoFill="0" autoPict="0">
                <anchor moveWithCells="1">
                  <from>
                    <xdr:col>4</xdr:col>
                    <xdr:colOff>19050</xdr:colOff>
                    <xdr:row>12</xdr:row>
                    <xdr:rowOff>9525</xdr:rowOff>
                  </from>
                  <to>
                    <xdr:col>5</xdr:col>
                    <xdr:colOff>838200</xdr:colOff>
                    <xdr:row>16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5" r:id="rId9" name="Option Button 7">
              <controlPr defaultSize="0" autoFill="0" autoLine="0" autoPict="0">
                <anchor moveWithCells="1">
                  <from>
                    <xdr:col>4</xdr:col>
                    <xdr:colOff>228600</xdr:colOff>
                    <xdr:row>12</xdr:row>
                    <xdr:rowOff>180975</xdr:rowOff>
                  </from>
                  <to>
                    <xdr:col>5</xdr:col>
                    <xdr:colOff>209550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6" r:id="rId10" name="Option Button 8">
              <controlPr defaultSize="0" autoFill="0" autoLine="0" autoPict="0">
                <anchor moveWithCells="1">
                  <from>
                    <xdr:col>4</xdr:col>
                    <xdr:colOff>219075</xdr:colOff>
                    <xdr:row>13</xdr:row>
                    <xdr:rowOff>171450</xdr:rowOff>
                  </from>
                  <to>
                    <xdr:col>5</xdr:col>
                    <xdr:colOff>323850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7" r:id="rId11" name="Option Button 9">
              <controlPr defaultSize="0" autoFill="0" autoLine="0" autoPict="0">
                <anchor moveWithCells="1">
                  <from>
                    <xdr:col>4</xdr:col>
                    <xdr:colOff>219075</xdr:colOff>
                    <xdr:row>15</xdr:row>
                    <xdr:rowOff>0</xdr:rowOff>
                  </from>
                  <to>
                    <xdr:col>5</xdr:col>
                    <xdr:colOff>285750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3" r:id="rId12" name="Group Box 15">
              <controlPr defaultSize="0" autoFill="0" autoPict="0">
                <anchor moveWithCells="1">
                  <from>
                    <xdr:col>4</xdr:col>
                    <xdr:colOff>9525</xdr:colOff>
                    <xdr:row>18</xdr:row>
                    <xdr:rowOff>19050</xdr:rowOff>
                  </from>
                  <to>
                    <xdr:col>5</xdr:col>
                    <xdr:colOff>838200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4" r:id="rId13" name="Option Button 16">
              <controlPr defaultSize="0" autoFill="0" autoLine="0" autoPict="0">
                <anchor moveWithCells="1">
                  <from>
                    <xdr:col>4</xdr:col>
                    <xdr:colOff>180975</xdr:colOff>
                    <xdr:row>19</xdr:row>
                    <xdr:rowOff>28575</xdr:rowOff>
                  </from>
                  <to>
                    <xdr:col>5</xdr:col>
                    <xdr:colOff>485775</xdr:colOff>
                    <xdr:row>20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5" r:id="rId14" name="Option Button 17">
              <controlPr defaultSize="0" autoFill="0" autoLine="0" autoPict="0">
                <anchor moveWithCells="1">
                  <from>
                    <xdr:col>4</xdr:col>
                    <xdr:colOff>171450</xdr:colOff>
                    <xdr:row>20</xdr:row>
                    <xdr:rowOff>19050</xdr:rowOff>
                  </from>
                  <to>
                    <xdr:col>5</xdr:col>
                    <xdr:colOff>476250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6" r:id="rId15" name="Spinner 18">
              <controlPr defaultSize="0" autoPict="0">
                <anchor moveWithCells="1" sizeWithCells="1">
                  <from>
                    <xdr:col>7</xdr:col>
                    <xdr:colOff>0</xdr:colOff>
                    <xdr:row>6</xdr:row>
                    <xdr:rowOff>9525</xdr:rowOff>
                  </from>
                  <to>
                    <xdr:col>7</xdr:col>
                    <xdr:colOff>1028700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7" r:id="rId16" name="Spinner 19">
              <controlPr defaultSize="0" autoPict="0">
                <anchor moveWithCells="1" sizeWithCells="1">
                  <from>
                    <xdr:col>8</xdr:col>
                    <xdr:colOff>9525</xdr:colOff>
                    <xdr:row>6</xdr:row>
                    <xdr:rowOff>19050</xdr:rowOff>
                  </from>
                  <to>
                    <xdr:col>8</xdr:col>
                    <xdr:colOff>1038225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8" r:id="rId17" name="Spinner 20">
              <controlPr defaultSize="0" autoPict="0">
                <anchor moveWithCells="1" sizeWithCells="1">
                  <from>
                    <xdr:col>9</xdr:col>
                    <xdr:colOff>19050</xdr:colOff>
                    <xdr:row>6</xdr:row>
                    <xdr:rowOff>9525</xdr:rowOff>
                  </from>
                  <to>
                    <xdr:col>10</xdr:col>
                    <xdr:colOff>0</xdr:colOff>
                    <xdr:row>8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42922-B104-4CB2-9E62-84C35FEEE427}">
  <sheetPr codeName="Plan3">
    <tabColor theme="5"/>
  </sheetPr>
  <dimension ref="A1:BP147"/>
  <sheetViews>
    <sheetView showGridLines="0" tabSelected="1" zoomScaleNormal="100" workbookViewId="0">
      <selection activeCell="X6" sqref="X6"/>
    </sheetView>
  </sheetViews>
  <sheetFormatPr defaultColWidth="0" defaultRowHeight="12.75" customHeight="1" zeroHeight="1" outlineLevelCol="1" x14ac:dyDescent="0.2"/>
  <cols>
    <col min="1" max="1" width="2.7109375" customWidth="1"/>
    <col min="2" max="2" width="12.85546875" customWidth="1"/>
    <col min="3" max="3" width="13.42578125" customWidth="1"/>
    <col min="4" max="4" width="6.85546875" customWidth="1"/>
    <col min="5" max="8" width="10.5703125" customWidth="1"/>
    <col min="9" max="12" width="10.5703125" hidden="1" customWidth="1" outlineLevel="1"/>
    <col min="13" max="13" width="11.28515625" customWidth="1" collapsed="1"/>
    <col min="14" max="20" width="11.28515625" customWidth="1"/>
    <col min="21" max="21" width="12.7109375" customWidth="1"/>
    <col min="22" max="22" width="24" hidden="1" customWidth="1"/>
    <col min="23" max="23" width="8.42578125" hidden="1" customWidth="1"/>
    <col min="24" max="24" width="6.7109375" customWidth="1"/>
    <col min="25" max="39" width="11.28515625" hidden="1" customWidth="1"/>
    <col min="40" max="41" width="11.28515625" customWidth="1"/>
    <col min="42" max="68" width="11.28515625" hidden="1"/>
  </cols>
  <sheetData>
    <row r="1" spans="1:39" ht="15" customHeight="1" x14ac:dyDescent="0.2">
      <c r="Y1" s="102">
        <f>ROUNDDOWN("04:00:10",5)</f>
        <v>0.16678000000000001</v>
      </c>
      <c r="Z1" s="102">
        <f>ROUNDDOWN("06:00:10",5)</f>
        <v>0.25011</v>
      </c>
      <c r="AA1" s="102">
        <f>ROUNDDOWN("08:00:10",5)</f>
        <v>0.33344000000000001</v>
      </c>
      <c r="AB1" s="103">
        <f>IF($Y$4=1,$Y$1,IF($Y$4=2,$AA$3,IF($Y$4=3,$AB$3,$AC$3)))</f>
        <v>0.17372000000000001</v>
      </c>
      <c r="AC1" s="103">
        <f>IF($Y$4=1,$Z$1,IF($Y$4=2,$AA$4,IF($Y$4=3,$AB$4,$AC$4)))</f>
        <v>0.25706000000000001</v>
      </c>
      <c r="AD1" s="97"/>
      <c r="AE1" s="97"/>
    </row>
    <row r="2" spans="1:39" ht="15" customHeight="1" thickBot="1" x14ac:dyDescent="0.25">
      <c r="D2" s="55"/>
      <c r="E2" s="55"/>
      <c r="F2" s="55"/>
      <c r="G2" s="55"/>
      <c r="H2" s="55"/>
      <c r="I2" s="56"/>
      <c r="L2" s="307"/>
      <c r="R2" s="309"/>
      <c r="Y2" s="108">
        <v>1</v>
      </c>
      <c r="Z2" s="102">
        <f>ROUNDDOWN("00:05:01",5)</f>
        <v>3.48E-3</v>
      </c>
      <c r="AA2" s="102">
        <f>ROUNDDOWN("01:00:10",5)</f>
        <v>4.1779999999999998E-2</v>
      </c>
      <c r="AB2" s="100"/>
      <c r="AC2" s="100"/>
      <c r="AD2" s="97"/>
      <c r="AE2" s="97"/>
    </row>
    <row r="3" spans="1:39" ht="15" customHeight="1" thickBot="1" x14ac:dyDescent="0.3">
      <c r="D3" s="313" t="s">
        <v>117</v>
      </c>
      <c r="E3" s="314"/>
      <c r="F3" s="311" t="str">
        <f>PROPER(TEXT(DATE(ano_cp,mes_cp,1),"mmmm/aaaa"))</f>
        <v>Julho/2026</v>
      </c>
      <c r="G3" s="312"/>
      <c r="H3" s="247"/>
      <c r="I3" s="248"/>
      <c r="L3" s="308"/>
      <c r="R3" s="309"/>
      <c r="Y3" s="108">
        <v>2</v>
      </c>
      <c r="Z3" s="102">
        <f>ROUNDDOWN("00:10:01",5)</f>
        <v>6.9499999999999996E-3</v>
      </c>
      <c r="AA3" s="102">
        <f>ROUNDDOWN("04:10:10",5)</f>
        <v>0.17372000000000001</v>
      </c>
      <c r="AB3" s="102">
        <f>ROUNDDOWN("04:15:10",5)</f>
        <v>0.17718999999999999</v>
      </c>
      <c r="AC3" s="102">
        <f>ROUNDDOWN("04:30:10",5)</f>
        <v>0.18761</v>
      </c>
      <c r="AD3" s="97"/>
      <c r="AE3" s="97"/>
    </row>
    <row r="4" spans="1:39" ht="15" customHeight="1" x14ac:dyDescent="0.2">
      <c r="R4" s="309"/>
      <c r="Y4" s="108">
        <v>2</v>
      </c>
      <c r="Z4" s="102">
        <f>ROUNDDOWN("00:15:01",5)</f>
        <v>1.042E-2</v>
      </c>
      <c r="AA4" s="102">
        <f>ROUNDDOWN("06:10:10",5)</f>
        <v>0.25706000000000001</v>
      </c>
      <c r="AB4" s="102">
        <f>ROUNDDOWN("06:15:10",5)</f>
        <v>0.26052999999999998</v>
      </c>
      <c r="AC4" s="102">
        <f>ROUNDDOWN("06:30:10",5)</f>
        <v>0.27094000000000001</v>
      </c>
      <c r="AD4" s="97"/>
      <c r="AE4" s="97"/>
    </row>
    <row r="5" spans="1:39" ht="15" customHeight="1" x14ac:dyDescent="0.2">
      <c r="B5" s="310"/>
      <c r="C5" s="310"/>
      <c r="D5" s="58"/>
      <c r="E5" s="58"/>
      <c r="F5" s="58"/>
      <c r="G5" s="58"/>
      <c r="H5" s="58"/>
      <c r="I5" s="59"/>
      <c r="J5" s="60"/>
      <c r="Y5" s="109" t="b">
        <v>1</v>
      </c>
      <c r="Z5" s="102">
        <f>ROUNDDOWN("00:30:01",5)</f>
        <v>2.0840000000000001E-2</v>
      </c>
      <c r="AA5" s="101"/>
      <c r="AB5" s="99"/>
      <c r="AC5" s="99"/>
      <c r="AD5" s="99"/>
      <c r="AE5" s="99"/>
    </row>
    <row r="6" spans="1:39" ht="20.100000000000001" customHeight="1" x14ac:dyDescent="0.2">
      <c r="B6" s="61"/>
      <c r="C6" s="62" t="s">
        <v>59</v>
      </c>
      <c r="D6" s="294" t="s">
        <v>87</v>
      </c>
      <c r="E6" s="297"/>
      <c r="F6" s="297"/>
      <c r="G6" s="297"/>
      <c r="H6" s="297"/>
      <c r="I6" s="297"/>
      <c r="J6" s="297"/>
      <c r="K6" s="297"/>
      <c r="L6" s="298"/>
      <c r="M6" s="63"/>
      <c r="N6" s="65"/>
      <c r="O6" s="66" t="s">
        <v>60</v>
      </c>
      <c r="P6" s="63"/>
      <c r="Q6" s="64"/>
      <c r="R6" s="64"/>
      <c r="S6" s="126"/>
      <c r="T6" s="65"/>
      <c r="V6" s="125"/>
      <c r="W6" s="169"/>
      <c r="Y6" s="301" t="s">
        <v>63</v>
      </c>
      <c r="Z6" s="302"/>
      <c r="AA6" s="294" t="s">
        <v>88</v>
      </c>
      <c r="AB6" s="295"/>
      <c r="AC6" s="295"/>
      <c r="AD6" s="295"/>
      <c r="AE6" s="296"/>
      <c r="AF6" s="104"/>
      <c r="AG6" s="294" t="s">
        <v>70</v>
      </c>
      <c r="AH6" s="297"/>
      <c r="AI6" s="297"/>
      <c r="AJ6" s="297"/>
      <c r="AK6" s="297"/>
      <c r="AL6" s="298"/>
      <c r="AM6" s="104"/>
    </row>
    <row r="7" spans="1:39" ht="25.5" x14ac:dyDescent="0.2">
      <c r="B7" s="67" t="s">
        <v>0</v>
      </c>
      <c r="C7" s="67" t="s">
        <v>1</v>
      </c>
      <c r="D7" s="67" t="s">
        <v>2</v>
      </c>
      <c r="E7" s="67" t="s">
        <v>121</v>
      </c>
      <c r="F7" s="67" t="s">
        <v>122</v>
      </c>
      <c r="G7" s="67" t="s">
        <v>123</v>
      </c>
      <c r="H7" s="67" t="s">
        <v>124</v>
      </c>
      <c r="I7" s="67" t="s">
        <v>121</v>
      </c>
      <c r="J7" s="67" t="s">
        <v>122</v>
      </c>
      <c r="K7" s="67" t="s">
        <v>123</v>
      </c>
      <c r="L7" s="67" t="s">
        <v>124</v>
      </c>
      <c r="M7" s="67" t="s">
        <v>3</v>
      </c>
      <c r="N7" s="67" t="s">
        <v>57</v>
      </c>
      <c r="O7" s="67" t="s">
        <v>6</v>
      </c>
      <c r="P7" s="67" t="s">
        <v>7</v>
      </c>
      <c r="Q7" s="67" t="s">
        <v>58</v>
      </c>
      <c r="R7" s="67" t="s">
        <v>8</v>
      </c>
      <c r="S7" s="67" t="s">
        <v>9</v>
      </c>
      <c r="T7" s="67" t="s">
        <v>63</v>
      </c>
      <c r="U7" s="68"/>
      <c r="V7" s="161"/>
      <c r="W7" s="68"/>
      <c r="X7" s="69"/>
      <c r="Y7" s="113" t="s">
        <v>64</v>
      </c>
      <c r="Z7" s="113" t="s">
        <v>65</v>
      </c>
      <c r="AA7" s="113" t="s">
        <v>4</v>
      </c>
      <c r="AB7" s="113" t="s">
        <v>5</v>
      </c>
      <c r="AC7" s="113" t="s">
        <v>57</v>
      </c>
      <c r="AD7" s="113" t="s">
        <v>6</v>
      </c>
      <c r="AE7" s="113" t="s">
        <v>8</v>
      </c>
      <c r="AF7" s="113" t="s">
        <v>9</v>
      </c>
      <c r="AG7" s="105" t="s">
        <v>67</v>
      </c>
      <c r="AH7" s="105" t="s">
        <v>66</v>
      </c>
      <c r="AI7" s="105" t="s">
        <v>57</v>
      </c>
      <c r="AJ7" s="105" t="s">
        <v>67</v>
      </c>
      <c r="AK7" s="105" t="s">
        <v>68</v>
      </c>
      <c r="AL7" s="105" t="s">
        <v>69</v>
      </c>
      <c r="AM7" s="113" t="s">
        <v>9</v>
      </c>
    </row>
    <row r="8" spans="1:39" ht="18" customHeight="1" x14ac:dyDescent="0.2">
      <c r="A8" s="29">
        <f>IF(B8="","",IF(C8&lt;&gt;"feriado",WEEKDAY(B8),8))</f>
        <v>4</v>
      </c>
      <c r="B8" s="70">
        <f>início</f>
        <v>46204</v>
      </c>
      <c r="C8" s="71">
        <f>IF(B8="","",IF(COUNTIF(fer,B8)&gt;0,"feriado",B8))</f>
        <v>46204</v>
      </c>
      <c r="D8" s="249"/>
      <c r="E8" s="244">
        <v>1700</v>
      </c>
      <c r="F8" s="244">
        <v>2000</v>
      </c>
      <c r="G8" s="244">
        <v>2100</v>
      </c>
      <c r="H8" s="244">
        <v>100</v>
      </c>
      <c r="I8" s="254">
        <f>IF(E8="",0,IF(E8&lt;1,E8,INT(E8/100)/24+MOD(E8,100)/1440))</f>
        <v>0.70833333333333337</v>
      </c>
      <c r="J8" s="254">
        <f>IF(F8="",0,IF(F8&lt;1,F8,INT(F8/100)/24+MOD(F8,100)/1440))</f>
        <v>0.83333333333333337</v>
      </c>
      <c r="K8" s="254">
        <f>IF(G8="",0,IF(G8&lt;1,G8,INT(G8/100)/24+MOD(G8,100)/1440))</f>
        <v>0.875</v>
      </c>
      <c r="L8" s="254">
        <f>IF(H8="",0,IF(H8&lt;1,H8,INT(H8/100)/24+MOD(H8,100)/1440))</f>
        <v>4.1666666666666664E-2</v>
      </c>
      <c r="M8" s="72">
        <f>IF(B8="","",ROUND((O8-N8)*1440,0)/1440)</f>
        <v>0.16666666666666666</v>
      </c>
      <c r="N8" s="72">
        <f t="shared" ref="N8:N38" si="0">IF(B8="","",IF(AND($Y$5=TRUE,I8&gt;Fimnot,I8&lt;=lim_not),AI8+AJ8,AC8))</f>
        <v>0.14286149660000014</v>
      </c>
      <c r="O8" s="74">
        <f t="shared" ref="O8:O38" si="1">IF(B8="","",IF(AND($Y$5=TRUE,I8&gt;Fimnot,I8&lt;=lim_not),AK8,AD8))</f>
        <v>0.30952816326666677</v>
      </c>
      <c r="P8" s="75">
        <f t="shared" ref="P8:P38" si="2">IF(B8="","",IF(D8="F",jor_folga,VLOOKUP(A8,_jornada,3)))</f>
        <v>0.33333333333333331</v>
      </c>
      <c r="Q8" s="75" t="str">
        <f>IF(B8="","",IF(AND(D8="A",P8&gt;O8),IF(ROUND((P8-O8)*1440,0)&lt;=10,"",P8-O8),""))</f>
        <v/>
      </c>
      <c r="R8" s="74">
        <f t="shared" ref="R8:R38" si="3">IF(B8="","",IF(ROUND(IF(AND($Y$5=TRUE,I8&gt;Fimnot,I8&lt;=lim_not),AL8,AE8)*1440,0)&lt;=tol_HE,0,IF(AND($Y$5=TRUE,I8&gt;Fimnot,I8&lt;=lim_not),AL8,AE8)))</f>
        <v>0</v>
      </c>
      <c r="S8" s="74">
        <f t="shared" ref="S8:S38" si="4">IF(B8="","",IF(AND($Y$5=TRUE,I8&gt;Fimnot,I8&lt;=lim_not),AM8,AF8))</f>
        <v>0</v>
      </c>
      <c r="T8" s="74">
        <f t="shared" ref="T8:T38" si="5">IF(B8="","",IF(OR(MOD(J8-I8,1)=O8,MOD(L8-K8,1)=O8),Z8,IF(Y8&gt;Z8,0,IF(AND(Z8-Y8&lt;=$Z$2,$Y$3=2),0,IF(AND(Z8-Y8&lt;=$Z$3,$Y$3=3),0,Z8-Y8)))))</f>
        <v>0</v>
      </c>
      <c r="U8" s="83"/>
      <c r="V8" s="162"/>
      <c r="W8" s="82"/>
      <c r="Y8" s="76">
        <f t="shared" ref="Y8:Y38" si="6">IF(B8="","",IF(OR(AND(I8=0,J8=0),AND(K8=0,L8=0)),0,ROUND(MOD(K8-J8,1),5)))</f>
        <v>4.1669999999999999E-2</v>
      </c>
      <c r="Z8" s="77">
        <f t="shared" ref="Z8:Z38" si="7">IF(B8="","",IF(O8&lt;=$AB$1,0,IF(O8&lt;=$AC$1,$Z$4,$AA$2)))</f>
        <v>4.1779999999999998E-2</v>
      </c>
      <c r="AA8" s="72">
        <f t="shared" ref="AA8:AA38" si="8">IF(B8="","",IF(AND(I8="",J8=""),0,MAX(Ininot,MIN(Fimnot+1,J8+(I8&gt;J8)))-MAX(Ininot,I8)+(MIN(Fimnot,J8+(I8&gt;J8))-MIN(Fimnot,I8)))+IF(AND(K8="",L8=""),0,MAX(Ininot,MIN(Fimnot+1,L8+(K8&gt;L8)))-MAX(Ininot,K8)+(MIN(Fimnot,L8+(K8&gt;L8))-MIN(Fimnot,K8))))</f>
        <v>0.12500000000000011</v>
      </c>
      <c r="AB8" s="77">
        <f t="shared" ref="AB8:AB38" si="9">IF(B8="","",IF(OR($Y$2=2,$Y$2=3),0,(AA8/7*8)-AA8))</f>
        <v>1.7857142857142877E-2</v>
      </c>
      <c r="AC8" s="77">
        <f t="shared" ref="AC8:AC38" si="10">IF(B8="","",AA8+AB8)</f>
        <v>0.14285714285714299</v>
      </c>
      <c r="AD8" s="77">
        <f t="shared" ref="AD8:AD38" si="11">IF(B8="","",ROUND((MOD(J8+L8-I8-K8,1)+AB8),5))</f>
        <v>0.30952000000000002</v>
      </c>
      <c r="AE8" s="77">
        <f t="shared" ref="AE8:AE38" si="12">IF(B8="","",IF(AND(WEEKDAY(B8,1)=7,P8=0,D8&lt;&gt;"F"),MAX(0,AD8-P8),IF(P8=0,0,MAX(0,AD8-P8))))</f>
        <v>0</v>
      </c>
      <c r="AF8" s="114">
        <f t="shared" ref="AF8:AF38" si="13">IF(B8="","",IF(AND(WEEKDAY(B8,1)=7,P8=0,D8&lt;&gt;"F"),0,IF(P8=0,AD8,0)))</f>
        <v>0</v>
      </c>
      <c r="AG8" s="77">
        <f t="shared" ref="AG8:AG38" si="14">IF(B8="","",ABS(ROUND((AD8-AI8-AH8)*24,10)/24))</f>
        <v>3.8095249999999997E-6</v>
      </c>
      <c r="AH8" s="77">
        <f t="shared" ref="AH8:AH38" si="15">IF(B8="","",IF((Fimnot&lt;=I8)*(I8&lt;Ininot),MIN(Ininot,(J8+(I8&gt;J8)))-MAX(Fimnot,I8)+IF((Fimnot&lt;=(K8+(I8&gt;K8)))*((K8+(I8&gt;K8))&lt;Ininot),MIN(Ininot,(L8+(I8&gt;L8)))-MAX(Fimnot,K8+(I8&gt;K8))),0))</f>
        <v>0.16666666666666663</v>
      </c>
      <c r="AI8" s="76">
        <f t="shared" ref="AI8:AI38" si="16">IF(B8="","",AC8)</f>
        <v>0.14285714285714299</v>
      </c>
      <c r="AJ8" s="76">
        <f t="shared" ref="AJ8:AJ38" si="17">IF(B8="","",IF(AB8=0,AG8,AG8*8/7))</f>
        <v>4.3537428571428566E-6</v>
      </c>
      <c r="AK8" s="77">
        <f t="shared" ref="AK8:AK38" si="18">IF(B8="","",SUM(AH8:AJ8))</f>
        <v>0.30952816326666677</v>
      </c>
      <c r="AL8" s="76">
        <f t="shared" ref="AL8:AL38" si="19">IF(B8="","",IF(AND(WEEKDAY(B8,1)=7,P8=0,D8&lt;&gt;"F"),MAX(0,AK8-P8),IF(P8=0,0,MAX(0,AK8-P8))))</f>
        <v>0</v>
      </c>
      <c r="AM8" s="76">
        <f t="shared" ref="AM8:AM38" si="20">IF(B8="","",IF(AND(WEEKDAY(B8,1)=7,P8=0,D8&lt;&gt;"F"),0,IF(P8=0,AK8,0)))</f>
        <v>0</v>
      </c>
    </row>
    <row r="9" spans="1:39" ht="18" customHeight="1" x14ac:dyDescent="0.2">
      <c r="A9" s="29">
        <f t="shared" ref="A9:A38" si="21">IF(B9="","",IF(C9&lt;&gt;"feriado",WEEKDAY(B9),8))</f>
        <v>5</v>
      </c>
      <c r="B9" s="78">
        <f>B8+1</f>
        <v>46205</v>
      </c>
      <c r="C9" s="79">
        <f t="shared" ref="C9:C38" si="22">IF(B9="","",IF(COUNTIF(fer,B9)&gt;0,"feriado",B9))</f>
        <v>46205</v>
      </c>
      <c r="D9" s="250"/>
      <c r="E9" s="245">
        <v>800</v>
      </c>
      <c r="F9" s="245">
        <v>1200</v>
      </c>
      <c r="G9" s="245">
        <v>1300</v>
      </c>
      <c r="H9" s="245">
        <v>1709</v>
      </c>
      <c r="I9" s="255">
        <f t="shared" ref="I9:I38" si="23">IF(E9="",0,IF(E9&lt;1,E9,INT(E9/100)/24+MOD(E9,100)/1440))</f>
        <v>0.33333333333333331</v>
      </c>
      <c r="J9" s="255">
        <f t="shared" ref="J9:J38" si="24">IF(F9="",0,IF(F9&lt;1,F9,INT(F9/100)/24+MOD(F9,100)/1440))</f>
        <v>0.5</v>
      </c>
      <c r="K9" s="255">
        <f t="shared" ref="K9:K38" si="25">IF(G9="",0,IF(G9&lt;1,G9,INT(G9/100)/24+MOD(G9,100)/1440))</f>
        <v>0.54166666666666663</v>
      </c>
      <c r="L9" s="255">
        <f t="shared" ref="L9:L38" si="26">IF(H9="",0,IF(H9&lt;1,H9,INT(H9/100)/24+MOD(H9,100)/1440))</f>
        <v>0.71458333333333335</v>
      </c>
      <c r="M9" s="72">
        <f t="shared" ref="M9:M38" si="27">IF(B9="","",ROUND((O9-N9)*1440,0)/1440)</f>
        <v>0.33958333333333335</v>
      </c>
      <c r="N9" s="73">
        <f t="shared" si="0"/>
        <v>3.3333333333333337E-6</v>
      </c>
      <c r="O9" s="80">
        <f t="shared" si="1"/>
        <v>0.33958666666666676</v>
      </c>
      <c r="P9" s="81">
        <f t="shared" si="2"/>
        <v>0.33333333333333331</v>
      </c>
      <c r="Q9" s="81" t="str">
        <f t="shared" ref="Q9:Q38" si="28">IF(B9="","",IF(AND(D9="A",P9&gt;O9),IF(ROUND((P9-O9)*1440,0)&lt;=10,"",P9-O9),""))</f>
        <v/>
      </c>
      <c r="R9" s="74">
        <f t="shared" si="3"/>
        <v>0</v>
      </c>
      <c r="S9" s="80">
        <f t="shared" si="4"/>
        <v>0</v>
      </c>
      <c r="T9" s="80">
        <f t="shared" si="5"/>
        <v>0</v>
      </c>
      <c r="U9" s="83"/>
      <c r="V9" s="163"/>
      <c r="W9" s="82"/>
      <c r="Y9" s="115">
        <f t="shared" si="6"/>
        <v>4.1669999999999999E-2</v>
      </c>
      <c r="Z9" s="116">
        <f t="shared" si="7"/>
        <v>4.1779999999999998E-2</v>
      </c>
      <c r="AA9" s="72">
        <f t="shared" si="8"/>
        <v>0</v>
      </c>
      <c r="AB9" s="77">
        <f t="shared" si="9"/>
        <v>0</v>
      </c>
      <c r="AC9" s="116">
        <f t="shared" si="10"/>
        <v>0</v>
      </c>
      <c r="AD9" s="116">
        <f t="shared" si="11"/>
        <v>0.33957999999999999</v>
      </c>
      <c r="AE9" s="116">
        <f t="shared" si="12"/>
        <v>6.2466666666666781E-3</v>
      </c>
      <c r="AF9" s="117">
        <f t="shared" si="13"/>
        <v>0</v>
      </c>
      <c r="AG9" s="116">
        <f t="shared" si="14"/>
        <v>3.3333333333333337E-6</v>
      </c>
      <c r="AH9" s="77">
        <f t="shared" si="15"/>
        <v>0.3395833333333334</v>
      </c>
      <c r="AI9" s="115">
        <f t="shared" si="16"/>
        <v>0</v>
      </c>
      <c r="AJ9" s="76">
        <f t="shared" si="17"/>
        <v>3.3333333333333337E-6</v>
      </c>
      <c r="AK9" s="116">
        <f t="shared" si="18"/>
        <v>0.33958666666666676</v>
      </c>
      <c r="AL9" s="115">
        <f t="shared" si="19"/>
        <v>6.253333333333444E-3</v>
      </c>
      <c r="AM9" s="115">
        <f t="shared" si="20"/>
        <v>0</v>
      </c>
    </row>
    <row r="10" spans="1:39" ht="18" customHeight="1" x14ac:dyDescent="0.2">
      <c r="A10" s="29">
        <f t="shared" si="21"/>
        <v>6</v>
      </c>
      <c r="B10" s="78">
        <f>B9+1</f>
        <v>46206</v>
      </c>
      <c r="C10" s="79">
        <f t="shared" si="22"/>
        <v>46206</v>
      </c>
      <c r="D10" s="250"/>
      <c r="E10" s="245">
        <v>800</v>
      </c>
      <c r="F10" s="245">
        <v>1200</v>
      </c>
      <c r="G10" s="245">
        <v>1300</v>
      </c>
      <c r="H10" s="245">
        <v>1702</v>
      </c>
      <c r="I10" s="255">
        <f t="shared" si="23"/>
        <v>0.33333333333333331</v>
      </c>
      <c r="J10" s="255">
        <f t="shared" si="24"/>
        <v>0.5</v>
      </c>
      <c r="K10" s="255">
        <f t="shared" si="25"/>
        <v>0.54166666666666663</v>
      </c>
      <c r="L10" s="255">
        <f t="shared" si="26"/>
        <v>0.70972222222222225</v>
      </c>
      <c r="M10" s="72">
        <f t="shared" si="27"/>
        <v>0.3347222222222222</v>
      </c>
      <c r="N10" s="73">
        <f t="shared" si="0"/>
        <v>2.2222208333333335E-6</v>
      </c>
      <c r="O10" s="80">
        <f t="shared" si="1"/>
        <v>0.33472444444305566</v>
      </c>
      <c r="P10" s="81">
        <f t="shared" si="2"/>
        <v>0.33333333333333331</v>
      </c>
      <c r="Q10" s="81" t="str">
        <f t="shared" si="28"/>
        <v/>
      </c>
      <c r="R10" s="74">
        <f t="shared" si="3"/>
        <v>0</v>
      </c>
      <c r="S10" s="80">
        <f t="shared" si="4"/>
        <v>0</v>
      </c>
      <c r="T10" s="80">
        <f t="shared" si="5"/>
        <v>0</v>
      </c>
      <c r="U10" s="83"/>
      <c r="V10" s="162"/>
      <c r="W10" s="82"/>
      <c r="Y10" s="115">
        <f t="shared" si="6"/>
        <v>4.1669999999999999E-2</v>
      </c>
      <c r="Z10" s="116">
        <f t="shared" si="7"/>
        <v>4.1779999999999998E-2</v>
      </c>
      <c r="AA10" s="72">
        <f t="shared" si="8"/>
        <v>0</v>
      </c>
      <c r="AB10" s="77">
        <f t="shared" si="9"/>
        <v>0</v>
      </c>
      <c r="AC10" s="116">
        <f t="shared" si="10"/>
        <v>0</v>
      </c>
      <c r="AD10" s="116">
        <f t="shared" si="11"/>
        <v>0.33472000000000002</v>
      </c>
      <c r="AE10" s="116">
        <f t="shared" si="12"/>
        <v>1.3866666666667027E-3</v>
      </c>
      <c r="AF10" s="117">
        <f t="shared" si="13"/>
        <v>0</v>
      </c>
      <c r="AG10" s="116">
        <f t="shared" si="14"/>
        <v>2.2222208333333335E-6</v>
      </c>
      <c r="AH10" s="77">
        <f t="shared" si="15"/>
        <v>0.33472222222222231</v>
      </c>
      <c r="AI10" s="115">
        <f t="shared" si="16"/>
        <v>0</v>
      </c>
      <c r="AJ10" s="76">
        <f t="shared" si="17"/>
        <v>2.2222208333333335E-6</v>
      </c>
      <c r="AK10" s="116">
        <f t="shared" si="18"/>
        <v>0.33472444444305566</v>
      </c>
      <c r="AL10" s="115">
        <f t="shared" si="19"/>
        <v>1.3911111097223428E-3</v>
      </c>
      <c r="AM10" s="115">
        <f t="shared" si="20"/>
        <v>0</v>
      </c>
    </row>
    <row r="11" spans="1:39" ht="18" customHeight="1" x14ac:dyDescent="0.2">
      <c r="A11" s="29">
        <f t="shared" si="21"/>
        <v>7</v>
      </c>
      <c r="B11" s="78">
        <f>B10+1</f>
        <v>46207</v>
      </c>
      <c r="C11" s="79">
        <f t="shared" si="22"/>
        <v>46207</v>
      </c>
      <c r="D11" s="250"/>
      <c r="E11" s="245">
        <v>0.83333333333333337</v>
      </c>
      <c r="F11" s="245">
        <v>4.1666666666666664E-2</v>
      </c>
      <c r="G11" s="245">
        <v>8.3333333333333329E-2</v>
      </c>
      <c r="H11" s="245">
        <v>0.25</v>
      </c>
      <c r="I11" s="255">
        <f t="shared" si="23"/>
        <v>0.83333333333333337</v>
      </c>
      <c r="J11" s="255">
        <f t="shared" si="24"/>
        <v>4.1666666666666664E-2</v>
      </c>
      <c r="K11" s="255">
        <f t="shared" si="25"/>
        <v>8.3333333333333329E-2</v>
      </c>
      <c r="L11" s="255">
        <f t="shared" si="26"/>
        <v>0.25</v>
      </c>
      <c r="M11" s="72">
        <f t="shared" si="27"/>
        <v>8.3333333333333329E-2</v>
      </c>
      <c r="N11" s="73">
        <f t="shared" si="0"/>
        <v>0.33332843537619061</v>
      </c>
      <c r="O11" s="80">
        <f t="shared" si="1"/>
        <v>0.41666176870952387</v>
      </c>
      <c r="P11" s="81">
        <f t="shared" si="2"/>
        <v>0.16666666666666666</v>
      </c>
      <c r="Q11" s="81" t="str">
        <f t="shared" si="28"/>
        <v/>
      </c>
      <c r="R11" s="74">
        <f t="shared" si="3"/>
        <v>0.24999510204285721</v>
      </c>
      <c r="S11" s="80">
        <f t="shared" si="4"/>
        <v>0</v>
      </c>
      <c r="T11" s="80">
        <f t="shared" si="5"/>
        <v>0</v>
      </c>
      <c r="U11" s="83"/>
      <c r="V11" s="162"/>
      <c r="W11" s="82"/>
      <c r="Y11" s="115">
        <f t="shared" si="6"/>
        <v>4.1669999999999999E-2</v>
      </c>
      <c r="Z11" s="116">
        <f t="shared" si="7"/>
        <v>4.1779999999999998E-2</v>
      </c>
      <c r="AA11" s="72">
        <f t="shared" si="8"/>
        <v>0.25000000000000011</v>
      </c>
      <c r="AB11" s="77">
        <f t="shared" si="9"/>
        <v>3.5714285714285754E-2</v>
      </c>
      <c r="AC11" s="116">
        <f t="shared" si="10"/>
        <v>0.28571428571428586</v>
      </c>
      <c r="AD11" s="116">
        <f t="shared" si="11"/>
        <v>0.41071000000000002</v>
      </c>
      <c r="AE11" s="116">
        <f t="shared" si="12"/>
        <v>0.24404333333333336</v>
      </c>
      <c r="AF11" s="117">
        <f t="shared" si="13"/>
        <v>0</v>
      </c>
      <c r="AG11" s="116">
        <f t="shared" si="14"/>
        <v>4.1662380954166668E-2</v>
      </c>
      <c r="AH11" s="77">
        <f t="shared" si="15"/>
        <v>8.3333333333333259E-2</v>
      </c>
      <c r="AI11" s="115">
        <f t="shared" si="16"/>
        <v>0.28571428571428586</v>
      </c>
      <c r="AJ11" s="76">
        <f t="shared" si="17"/>
        <v>4.7614149661904762E-2</v>
      </c>
      <c r="AK11" s="116">
        <f t="shared" si="18"/>
        <v>0.41666176870952387</v>
      </c>
      <c r="AL11" s="115">
        <f t="shared" si="19"/>
        <v>0.24999510204285721</v>
      </c>
      <c r="AM11" s="115">
        <f t="shared" si="20"/>
        <v>0</v>
      </c>
    </row>
    <row r="12" spans="1:39" ht="18" customHeight="1" x14ac:dyDescent="0.2">
      <c r="A12" s="29">
        <f t="shared" si="21"/>
        <v>1</v>
      </c>
      <c r="B12" s="78">
        <f>B11+1</f>
        <v>46208</v>
      </c>
      <c r="C12" s="79">
        <f t="shared" si="22"/>
        <v>46208</v>
      </c>
      <c r="D12" s="250" t="s">
        <v>119</v>
      </c>
      <c r="E12" s="245">
        <v>0.91666666666666663</v>
      </c>
      <c r="F12" s="245">
        <v>4.1666666666666664E-2</v>
      </c>
      <c r="G12" s="245">
        <v>5.2083333333333336E-2</v>
      </c>
      <c r="H12" s="245">
        <v>0.29166666666666669</v>
      </c>
      <c r="I12" s="255">
        <f t="shared" si="23"/>
        <v>0.91666666666666663</v>
      </c>
      <c r="J12" s="255">
        <f t="shared" si="24"/>
        <v>4.1666666666666664E-2</v>
      </c>
      <c r="K12" s="255">
        <f t="shared" si="25"/>
        <v>5.2083333333333336E-2</v>
      </c>
      <c r="L12" s="255">
        <f t="shared" si="26"/>
        <v>0.29166666666666669</v>
      </c>
      <c r="M12" s="72">
        <f t="shared" si="27"/>
        <v>0</v>
      </c>
      <c r="N12" s="73">
        <f t="shared" si="0"/>
        <v>0.41666448979523824</v>
      </c>
      <c r="O12" s="80">
        <f t="shared" si="1"/>
        <v>0.41666448979523824</v>
      </c>
      <c r="P12" s="81">
        <f t="shared" si="2"/>
        <v>0</v>
      </c>
      <c r="Q12" s="81" t="str">
        <f t="shared" si="28"/>
        <v/>
      </c>
      <c r="R12" s="74">
        <f t="shared" si="3"/>
        <v>0</v>
      </c>
      <c r="S12" s="80">
        <f t="shared" si="4"/>
        <v>0.41666448979523824</v>
      </c>
      <c r="T12" s="80">
        <f t="shared" si="5"/>
        <v>3.1359999999999999E-2</v>
      </c>
      <c r="U12" s="83"/>
      <c r="V12" s="162"/>
      <c r="W12" s="82"/>
      <c r="Y12" s="115">
        <f t="shared" si="6"/>
        <v>1.042E-2</v>
      </c>
      <c r="Z12" s="116">
        <f t="shared" si="7"/>
        <v>4.1779999999999998E-2</v>
      </c>
      <c r="AA12" s="72">
        <f t="shared" si="8"/>
        <v>0.28125000000000011</v>
      </c>
      <c r="AB12" s="77">
        <f t="shared" si="9"/>
        <v>4.0178571428571452E-2</v>
      </c>
      <c r="AC12" s="116">
        <f t="shared" si="10"/>
        <v>0.32142857142857156</v>
      </c>
      <c r="AD12" s="116">
        <f t="shared" si="11"/>
        <v>0.40476000000000001</v>
      </c>
      <c r="AE12" s="116">
        <f t="shared" si="12"/>
        <v>0</v>
      </c>
      <c r="AF12" s="117">
        <f t="shared" si="13"/>
        <v>0.40476000000000001</v>
      </c>
      <c r="AG12" s="116">
        <f t="shared" si="14"/>
        <v>8.3331428570833324E-2</v>
      </c>
      <c r="AH12" s="77">
        <f t="shared" si="15"/>
        <v>0</v>
      </c>
      <c r="AI12" s="115">
        <f t="shared" si="16"/>
        <v>0.32142857142857156</v>
      </c>
      <c r="AJ12" s="76">
        <f t="shared" si="17"/>
        <v>9.5235918366666658E-2</v>
      </c>
      <c r="AK12" s="116">
        <f t="shared" si="18"/>
        <v>0.41666448979523824</v>
      </c>
      <c r="AL12" s="115">
        <f t="shared" si="19"/>
        <v>0</v>
      </c>
      <c r="AM12" s="115">
        <f t="shared" si="20"/>
        <v>0.41666448979523824</v>
      </c>
    </row>
    <row r="13" spans="1:39" ht="18" customHeight="1" x14ac:dyDescent="0.2">
      <c r="A13" s="29">
        <f t="shared" si="21"/>
        <v>2</v>
      </c>
      <c r="B13" s="78">
        <f t="shared" ref="B13:B35" si="29">B12+1</f>
        <v>46209</v>
      </c>
      <c r="C13" s="79">
        <f t="shared" si="22"/>
        <v>46209</v>
      </c>
      <c r="D13" s="250" t="s">
        <v>125</v>
      </c>
      <c r="E13" s="245"/>
      <c r="F13" s="245"/>
      <c r="G13" s="245"/>
      <c r="H13" s="245"/>
      <c r="I13" s="255">
        <f t="shared" si="23"/>
        <v>0</v>
      </c>
      <c r="J13" s="255">
        <f t="shared" si="24"/>
        <v>0</v>
      </c>
      <c r="K13" s="255">
        <f t="shared" si="25"/>
        <v>0</v>
      </c>
      <c r="L13" s="255">
        <f t="shared" si="26"/>
        <v>0</v>
      </c>
      <c r="M13" s="72">
        <f t="shared" si="27"/>
        <v>0</v>
      </c>
      <c r="N13" s="73">
        <f t="shared" si="0"/>
        <v>0</v>
      </c>
      <c r="O13" s="80">
        <f t="shared" si="1"/>
        <v>0</v>
      </c>
      <c r="P13" s="81">
        <f t="shared" si="2"/>
        <v>0.33333333333333331</v>
      </c>
      <c r="Q13" s="81">
        <f t="shared" si="28"/>
        <v>0.33333333333333331</v>
      </c>
      <c r="R13" s="74">
        <f t="shared" si="3"/>
        <v>0</v>
      </c>
      <c r="S13" s="80">
        <f t="shared" si="4"/>
        <v>0</v>
      </c>
      <c r="T13" s="80">
        <f t="shared" si="5"/>
        <v>0</v>
      </c>
      <c r="U13" s="83"/>
      <c r="V13" s="162"/>
      <c r="W13" s="82"/>
      <c r="Y13" s="115">
        <f t="shared" si="6"/>
        <v>0</v>
      </c>
      <c r="Z13" s="116">
        <f t="shared" si="7"/>
        <v>0</v>
      </c>
      <c r="AA13" s="72">
        <f t="shared" si="8"/>
        <v>0</v>
      </c>
      <c r="AB13" s="77">
        <f t="shared" si="9"/>
        <v>0</v>
      </c>
      <c r="AC13" s="116">
        <f t="shared" si="10"/>
        <v>0</v>
      </c>
      <c r="AD13" s="116">
        <f t="shared" si="11"/>
        <v>0</v>
      </c>
      <c r="AE13" s="116">
        <f t="shared" si="12"/>
        <v>0</v>
      </c>
      <c r="AF13" s="117">
        <f t="shared" si="13"/>
        <v>0</v>
      </c>
      <c r="AG13" s="116">
        <f t="shared" si="14"/>
        <v>0</v>
      </c>
      <c r="AH13" s="77">
        <f t="shared" si="15"/>
        <v>0</v>
      </c>
      <c r="AI13" s="115">
        <f t="shared" si="16"/>
        <v>0</v>
      </c>
      <c r="AJ13" s="76">
        <f t="shared" si="17"/>
        <v>0</v>
      </c>
      <c r="AK13" s="116">
        <f t="shared" si="18"/>
        <v>0</v>
      </c>
      <c r="AL13" s="115">
        <f t="shared" si="19"/>
        <v>0</v>
      </c>
      <c r="AM13" s="115">
        <f t="shared" si="20"/>
        <v>0</v>
      </c>
    </row>
    <row r="14" spans="1:39" ht="18" customHeight="1" x14ac:dyDescent="0.2">
      <c r="A14" s="29">
        <f t="shared" si="21"/>
        <v>3</v>
      </c>
      <c r="B14" s="78">
        <f t="shared" si="29"/>
        <v>46210</v>
      </c>
      <c r="C14" s="79">
        <f t="shared" si="22"/>
        <v>46210</v>
      </c>
      <c r="D14" s="250"/>
      <c r="E14" s="245">
        <v>0.91666666666666663</v>
      </c>
      <c r="F14" s="245">
        <v>4.1666666666666664E-2</v>
      </c>
      <c r="G14" s="245">
        <v>4.1666666666666664E-2</v>
      </c>
      <c r="H14" s="245">
        <v>0.29166666666666669</v>
      </c>
      <c r="I14" s="255">
        <f t="shared" si="23"/>
        <v>0.91666666666666663</v>
      </c>
      <c r="J14" s="255">
        <f t="shared" si="24"/>
        <v>4.1666666666666664E-2</v>
      </c>
      <c r="K14" s="255">
        <f t="shared" si="25"/>
        <v>4.1666666666666664E-2</v>
      </c>
      <c r="L14" s="255">
        <f t="shared" si="26"/>
        <v>0.29166666666666669</v>
      </c>
      <c r="M14" s="72">
        <f t="shared" si="27"/>
        <v>0</v>
      </c>
      <c r="N14" s="73">
        <f t="shared" si="0"/>
        <v>0.42857523809523823</v>
      </c>
      <c r="O14" s="80">
        <f t="shared" si="1"/>
        <v>0.42857523809523823</v>
      </c>
      <c r="P14" s="81">
        <f t="shared" si="2"/>
        <v>0.33333333333333331</v>
      </c>
      <c r="Q14" s="81" t="str">
        <f t="shared" si="28"/>
        <v/>
      </c>
      <c r="R14" s="74">
        <f t="shared" si="3"/>
        <v>9.5241904761904916E-2</v>
      </c>
      <c r="S14" s="80">
        <f t="shared" si="4"/>
        <v>0</v>
      </c>
      <c r="T14" s="80">
        <f t="shared" si="5"/>
        <v>4.1779999999999998E-2</v>
      </c>
      <c r="U14" s="83"/>
      <c r="V14" s="163"/>
      <c r="W14" s="82"/>
      <c r="Y14" s="115">
        <f t="shared" si="6"/>
        <v>0</v>
      </c>
      <c r="Z14" s="116">
        <f t="shared" si="7"/>
        <v>4.1779999999999998E-2</v>
      </c>
      <c r="AA14" s="72">
        <f t="shared" si="8"/>
        <v>0.2916666666666668</v>
      </c>
      <c r="AB14" s="77">
        <f t="shared" si="9"/>
        <v>4.1666666666666685E-2</v>
      </c>
      <c r="AC14" s="116">
        <f t="shared" si="10"/>
        <v>0.33333333333333348</v>
      </c>
      <c r="AD14" s="116">
        <f t="shared" si="11"/>
        <v>0.41666999999999998</v>
      </c>
      <c r="AE14" s="116">
        <f t="shared" si="12"/>
        <v>8.333666666666667E-2</v>
      </c>
      <c r="AF14" s="117">
        <f t="shared" si="13"/>
        <v>0</v>
      </c>
      <c r="AG14" s="116">
        <f t="shared" si="14"/>
        <v>8.333666666666667E-2</v>
      </c>
      <c r="AH14" s="77">
        <f t="shared" si="15"/>
        <v>0</v>
      </c>
      <c r="AI14" s="115">
        <f t="shared" si="16"/>
        <v>0.33333333333333348</v>
      </c>
      <c r="AJ14" s="76">
        <f t="shared" si="17"/>
        <v>9.5241904761904764E-2</v>
      </c>
      <c r="AK14" s="116">
        <f t="shared" si="18"/>
        <v>0.42857523809523823</v>
      </c>
      <c r="AL14" s="115">
        <f t="shared" si="19"/>
        <v>9.5241904761904916E-2</v>
      </c>
      <c r="AM14" s="115">
        <f t="shared" si="20"/>
        <v>0</v>
      </c>
    </row>
    <row r="15" spans="1:39" ht="18" customHeight="1" x14ac:dyDescent="0.2">
      <c r="A15" s="29">
        <f t="shared" si="21"/>
        <v>4</v>
      </c>
      <c r="B15" s="78">
        <f t="shared" si="29"/>
        <v>46211</v>
      </c>
      <c r="C15" s="79">
        <f t="shared" si="22"/>
        <v>46211</v>
      </c>
      <c r="D15" s="250"/>
      <c r="E15" s="245">
        <v>0.91666666666666663</v>
      </c>
      <c r="F15" s="245">
        <v>4.1666666666666664E-2</v>
      </c>
      <c r="G15" s="245">
        <v>8.3333333333333329E-2</v>
      </c>
      <c r="H15" s="245">
        <v>0.29166666666666669</v>
      </c>
      <c r="I15" s="255">
        <f t="shared" si="23"/>
        <v>0.91666666666666663</v>
      </c>
      <c r="J15" s="255">
        <f t="shared" si="24"/>
        <v>4.1666666666666664E-2</v>
      </c>
      <c r="K15" s="255">
        <f t="shared" si="25"/>
        <v>8.3333333333333329E-2</v>
      </c>
      <c r="L15" s="255">
        <f t="shared" si="26"/>
        <v>0.29166666666666669</v>
      </c>
      <c r="M15" s="72">
        <f t="shared" si="27"/>
        <v>0</v>
      </c>
      <c r="N15" s="73">
        <f t="shared" si="0"/>
        <v>0.38095510204285726</v>
      </c>
      <c r="O15" s="80">
        <f t="shared" si="1"/>
        <v>0.38095510204285726</v>
      </c>
      <c r="P15" s="81">
        <f t="shared" si="2"/>
        <v>0.33333333333333331</v>
      </c>
      <c r="Q15" s="81" t="str">
        <f t="shared" si="28"/>
        <v/>
      </c>
      <c r="R15" s="74">
        <f t="shared" si="3"/>
        <v>4.7621768709523948E-2</v>
      </c>
      <c r="S15" s="80">
        <f t="shared" si="4"/>
        <v>0</v>
      </c>
      <c r="T15" s="80">
        <f t="shared" si="5"/>
        <v>0</v>
      </c>
      <c r="U15" s="83"/>
      <c r="V15" s="162"/>
      <c r="W15" s="82"/>
      <c r="Y15" s="115">
        <f t="shared" si="6"/>
        <v>4.1669999999999999E-2</v>
      </c>
      <c r="Z15" s="116">
        <f t="shared" si="7"/>
        <v>4.1779999999999998E-2</v>
      </c>
      <c r="AA15" s="72">
        <f t="shared" si="8"/>
        <v>0.25000000000000011</v>
      </c>
      <c r="AB15" s="77">
        <f t="shared" si="9"/>
        <v>3.5714285714285754E-2</v>
      </c>
      <c r="AC15" s="116">
        <f t="shared" si="10"/>
        <v>0.28571428571428586</v>
      </c>
      <c r="AD15" s="116">
        <f t="shared" si="11"/>
        <v>0.36904999999999999</v>
      </c>
      <c r="AE15" s="116">
        <f t="shared" si="12"/>
        <v>3.5716666666666674E-2</v>
      </c>
      <c r="AF15" s="117">
        <f t="shared" si="13"/>
        <v>0</v>
      </c>
      <c r="AG15" s="116">
        <f t="shared" si="14"/>
        <v>8.3335714287499987E-2</v>
      </c>
      <c r="AH15" s="77">
        <f t="shared" si="15"/>
        <v>0</v>
      </c>
      <c r="AI15" s="115">
        <f t="shared" si="16"/>
        <v>0.28571428571428586</v>
      </c>
      <c r="AJ15" s="76">
        <f t="shared" si="17"/>
        <v>9.5240816328571412E-2</v>
      </c>
      <c r="AK15" s="116">
        <f t="shared" si="18"/>
        <v>0.38095510204285726</v>
      </c>
      <c r="AL15" s="115">
        <f t="shared" si="19"/>
        <v>4.7621768709523948E-2</v>
      </c>
      <c r="AM15" s="115">
        <f t="shared" si="20"/>
        <v>0</v>
      </c>
    </row>
    <row r="16" spans="1:39" ht="18" customHeight="1" x14ac:dyDescent="0.2">
      <c r="A16" s="29">
        <f t="shared" si="21"/>
        <v>5</v>
      </c>
      <c r="B16" s="78">
        <f t="shared" si="29"/>
        <v>46212</v>
      </c>
      <c r="C16" s="79">
        <f t="shared" si="22"/>
        <v>46212</v>
      </c>
      <c r="D16" s="250"/>
      <c r="E16" s="245">
        <v>0.75</v>
      </c>
      <c r="F16" s="245">
        <v>0.91666666666666663</v>
      </c>
      <c r="G16" s="245">
        <v>0.95833333333333337</v>
      </c>
      <c r="H16" s="245">
        <v>0.125</v>
      </c>
      <c r="I16" s="255">
        <f t="shared" si="23"/>
        <v>0.75</v>
      </c>
      <c r="J16" s="255">
        <f t="shared" si="24"/>
        <v>0.91666666666666663</v>
      </c>
      <c r="K16" s="255">
        <f t="shared" si="25"/>
        <v>0.95833333333333337</v>
      </c>
      <c r="L16" s="255">
        <f t="shared" si="26"/>
        <v>0.125</v>
      </c>
      <c r="M16" s="72">
        <f t="shared" si="27"/>
        <v>0.16666666666666666</v>
      </c>
      <c r="N16" s="73">
        <f t="shared" si="0"/>
        <v>0.19047945578095235</v>
      </c>
      <c r="O16" s="80">
        <f t="shared" si="1"/>
        <v>0.35714612244761901</v>
      </c>
      <c r="P16" s="81">
        <f t="shared" si="2"/>
        <v>0.33333333333333331</v>
      </c>
      <c r="Q16" s="81" t="str">
        <f t="shared" si="28"/>
        <v/>
      </c>
      <c r="R16" s="74">
        <f t="shared" si="3"/>
        <v>2.3812789114285693E-2</v>
      </c>
      <c r="S16" s="80">
        <f t="shared" si="4"/>
        <v>0</v>
      </c>
      <c r="T16" s="80">
        <f t="shared" si="5"/>
        <v>0</v>
      </c>
      <c r="U16" s="82"/>
      <c r="V16" s="82"/>
      <c r="W16" s="82"/>
      <c r="Y16" s="115">
        <f t="shared" si="6"/>
        <v>4.1669999999999999E-2</v>
      </c>
      <c r="Z16" s="116">
        <f t="shared" si="7"/>
        <v>4.1779999999999998E-2</v>
      </c>
      <c r="AA16" s="72">
        <f t="shared" si="8"/>
        <v>0.16666666666666663</v>
      </c>
      <c r="AB16" s="77">
        <f t="shared" si="9"/>
        <v>2.3809523809523808E-2</v>
      </c>
      <c r="AC16" s="116">
        <f t="shared" si="10"/>
        <v>0.19047619047619044</v>
      </c>
      <c r="AD16" s="116">
        <f t="shared" si="11"/>
        <v>0.35714000000000001</v>
      </c>
      <c r="AE16" s="116">
        <f t="shared" si="12"/>
        <v>2.3806666666666698E-2</v>
      </c>
      <c r="AF16" s="117">
        <f t="shared" si="13"/>
        <v>0</v>
      </c>
      <c r="AG16" s="116">
        <f t="shared" si="14"/>
        <v>2.8571416666666669E-6</v>
      </c>
      <c r="AH16" s="77">
        <f t="shared" si="15"/>
        <v>0.16666666666666663</v>
      </c>
      <c r="AI16" s="115">
        <f t="shared" si="16"/>
        <v>0.19047619047619044</v>
      </c>
      <c r="AJ16" s="76">
        <f t="shared" si="17"/>
        <v>3.2653047619047622E-6</v>
      </c>
      <c r="AK16" s="116">
        <f t="shared" si="18"/>
        <v>0.35714612244761901</v>
      </c>
      <c r="AL16" s="115">
        <f t="shared" si="19"/>
        <v>2.3812789114285693E-2</v>
      </c>
      <c r="AM16" s="115">
        <f t="shared" si="20"/>
        <v>0</v>
      </c>
    </row>
    <row r="17" spans="1:39" ht="18" customHeight="1" x14ac:dyDescent="0.2">
      <c r="A17" s="29">
        <f t="shared" si="21"/>
        <v>6</v>
      </c>
      <c r="B17" s="78">
        <f t="shared" si="29"/>
        <v>46213</v>
      </c>
      <c r="C17" s="79">
        <f t="shared" si="22"/>
        <v>46213</v>
      </c>
      <c r="D17" s="250"/>
      <c r="E17" s="245">
        <v>0.91666666666666663</v>
      </c>
      <c r="F17" s="245">
        <v>4.1666666666666664E-2</v>
      </c>
      <c r="G17" s="245">
        <v>4.1666666666666664E-2</v>
      </c>
      <c r="H17" s="245">
        <v>0.29166666666666669</v>
      </c>
      <c r="I17" s="255">
        <f t="shared" si="23"/>
        <v>0.91666666666666663</v>
      </c>
      <c r="J17" s="255">
        <f t="shared" si="24"/>
        <v>4.1666666666666664E-2</v>
      </c>
      <c r="K17" s="255">
        <f t="shared" si="25"/>
        <v>4.1666666666666664E-2</v>
      </c>
      <c r="L17" s="255">
        <f t="shared" si="26"/>
        <v>0.29166666666666669</v>
      </c>
      <c r="M17" s="72">
        <f t="shared" si="27"/>
        <v>0</v>
      </c>
      <c r="N17" s="73">
        <f t="shared" si="0"/>
        <v>0.42857523809523823</v>
      </c>
      <c r="O17" s="80">
        <f t="shared" si="1"/>
        <v>0.42857523809523823</v>
      </c>
      <c r="P17" s="81">
        <f t="shared" si="2"/>
        <v>0.33333333333333331</v>
      </c>
      <c r="Q17" s="81" t="str">
        <f t="shared" si="28"/>
        <v/>
      </c>
      <c r="R17" s="74">
        <f t="shared" si="3"/>
        <v>9.5241904761904916E-2</v>
      </c>
      <c r="S17" s="80">
        <f t="shared" si="4"/>
        <v>0</v>
      </c>
      <c r="T17" s="80">
        <f t="shared" si="5"/>
        <v>4.1779999999999998E-2</v>
      </c>
      <c r="U17" s="82"/>
      <c r="V17" s="125"/>
      <c r="W17" s="169"/>
      <c r="Y17" s="115">
        <f t="shared" si="6"/>
        <v>0</v>
      </c>
      <c r="Z17" s="116">
        <f t="shared" si="7"/>
        <v>4.1779999999999998E-2</v>
      </c>
      <c r="AA17" s="72">
        <f t="shared" si="8"/>
        <v>0.2916666666666668</v>
      </c>
      <c r="AB17" s="77">
        <f t="shared" si="9"/>
        <v>4.1666666666666685E-2</v>
      </c>
      <c r="AC17" s="116">
        <f t="shared" si="10"/>
        <v>0.33333333333333348</v>
      </c>
      <c r="AD17" s="116">
        <f t="shared" si="11"/>
        <v>0.41666999999999998</v>
      </c>
      <c r="AE17" s="116">
        <f t="shared" si="12"/>
        <v>8.333666666666667E-2</v>
      </c>
      <c r="AF17" s="117">
        <f t="shared" si="13"/>
        <v>0</v>
      </c>
      <c r="AG17" s="116">
        <f t="shared" si="14"/>
        <v>8.333666666666667E-2</v>
      </c>
      <c r="AH17" s="77">
        <f t="shared" si="15"/>
        <v>0</v>
      </c>
      <c r="AI17" s="115">
        <f t="shared" si="16"/>
        <v>0.33333333333333348</v>
      </c>
      <c r="AJ17" s="76">
        <f t="shared" si="17"/>
        <v>9.5241904761904764E-2</v>
      </c>
      <c r="AK17" s="116">
        <f t="shared" si="18"/>
        <v>0.42857523809523823</v>
      </c>
      <c r="AL17" s="115">
        <f t="shared" si="19"/>
        <v>9.5241904761904916E-2</v>
      </c>
      <c r="AM17" s="115">
        <f t="shared" si="20"/>
        <v>0</v>
      </c>
    </row>
    <row r="18" spans="1:39" ht="18" customHeight="1" x14ac:dyDescent="0.2">
      <c r="A18" s="29">
        <f t="shared" si="21"/>
        <v>7</v>
      </c>
      <c r="B18" s="78">
        <f t="shared" si="29"/>
        <v>46214</v>
      </c>
      <c r="C18" s="79">
        <f t="shared" si="22"/>
        <v>46214</v>
      </c>
      <c r="D18" s="250"/>
      <c r="E18" s="245">
        <v>2200</v>
      </c>
      <c r="F18" s="245">
        <v>100</v>
      </c>
      <c r="G18" s="245">
        <v>100</v>
      </c>
      <c r="H18" s="245">
        <v>500</v>
      </c>
      <c r="I18" s="255">
        <f t="shared" si="23"/>
        <v>0.91666666666666663</v>
      </c>
      <c r="J18" s="255">
        <f t="shared" si="24"/>
        <v>4.1666666666666664E-2</v>
      </c>
      <c r="K18" s="255">
        <f t="shared" si="25"/>
        <v>4.1666666666666664E-2</v>
      </c>
      <c r="L18" s="255">
        <f t="shared" si="26"/>
        <v>0.20833333333333334</v>
      </c>
      <c r="M18" s="72">
        <f t="shared" si="27"/>
        <v>0</v>
      </c>
      <c r="N18" s="73">
        <f t="shared" si="0"/>
        <v>0.333337142857143</v>
      </c>
      <c r="O18" s="80">
        <f t="shared" si="1"/>
        <v>0.333337142857143</v>
      </c>
      <c r="P18" s="81">
        <f t="shared" si="2"/>
        <v>0.16666666666666666</v>
      </c>
      <c r="Q18" s="81" t="str">
        <f t="shared" si="28"/>
        <v/>
      </c>
      <c r="R18" s="74">
        <f t="shared" si="3"/>
        <v>0.16667047619047634</v>
      </c>
      <c r="S18" s="80">
        <f t="shared" si="4"/>
        <v>0</v>
      </c>
      <c r="T18" s="80">
        <f t="shared" si="5"/>
        <v>4.1779999999999998E-2</v>
      </c>
      <c r="U18" s="82"/>
      <c r="V18" s="164"/>
      <c r="W18" s="82"/>
      <c r="Y18" s="115">
        <f t="shared" si="6"/>
        <v>0</v>
      </c>
      <c r="Z18" s="116">
        <f t="shared" si="7"/>
        <v>4.1779999999999998E-2</v>
      </c>
      <c r="AA18" s="72">
        <f t="shared" si="8"/>
        <v>0.2916666666666668</v>
      </c>
      <c r="AB18" s="77">
        <f t="shared" si="9"/>
        <v>4.1666666666666685E-2</v>
      </c>
      <c r="AC18" s="116">
        <f t="shared" si="10"/>
        <v>0.33333333333333348</v>
      </c>
      <c r="AD18" s="116">
        <f t="shared" si="11"/>
        <v>0.33333000000000002</v>
      </c>
      <c r="AE18" s="116">
        <f t="shared" si="12"/>
        <v>0.16666333333333336</v>
      </c>
      <c r="AF18" s="117">
        <f t="shared" si="13"/>
        <v>0</v>
      </c>
      <c r="AG18" s="116">
        <f t="shared" si="14"/>
        <v>3.3333333333333337E-6</v>
      </c>
      <c r="AH18" s="77">
        <f t="shared" si="15"/>
        <v>0</v>
      </c>
      <c r="AI18" s="115">
        <f t="shared" si="16"/>
        <v>0.33333333333333348</v>
      </c>
      <c r="AJ18" s="76">
        <f t="shared" si="17"/>
        <v>3.8095238095238098E-6</v>
      </c>
      <c r="AK18" s="116">
        <f t="shared" si="18"/>
        <v>0.333337142857143</v>
      </c>
      <c r="AL18" s="115">
        <f t="shared" si="19"/>
        <v>0.16667047619047634</v>
      </c>
      <c r="AM18" s="115">
        <f t="shared" si="20"/>
        <v>0</v>
      </c>
    </row>
    <row r="19" spans="1:39" ht="18" customHeight="1" x14ac:dyDescent="0.2">
      <c r="A19" s="29">
        <f t="shared" si="21"/>
        <v>1</v>
      </c>
      <c r="B19" s="78">
        <f t="shared" si="29"/>
        <v>46215</v>
      </c>
      <c r="C19" s="79">
        <f t="shared" si="22"/>
        <v>46215</v>
      </c>
      <c r="D19" s="250" t="s">
        <v>119</v>
      </c>
      <c r="E19" s="245">
        <v>2200</v>
      </c>
      <c r="F19" s="245">
        <v>100</v>
      </c>
      <c r="G19" s="245">
        <v>100</v>
      </c>
      <c r="H19" s="245">
        <v>600</v>
      </c>
      <c r="I19" s="255">
        <f t="shared" si="23"/>
        <v>0.91666666666666663</v>
      </c>
      <c r="J19" s="255">
        <f t="shared" si="24"/>
        <v>4.1666666666666664E-2</v>
      </c>
      <c r="K19" s="255">
        <f t="shared" si="25"/>
        <v>4.1666666666666664E-2</v>
      </c>
      <c r="L19" s="255">
        <f t="shared" si="26"/>
        <v>0.25</v>
      </c>
      <c r="M19" s="72">
        <f t="shared" si="27"/>
        <v>0</v>
      </c>
      <c r="N19" s="73">
        <f t="shared" si="0"/>
        <v>0.3809523809523811</v>
      </c>
      <c r="O19" s="80">
        <f t="shared" si="1"/>
        <v>0.3809523809523811</v>
      </c>
      <c r="P19" s="81">
        <f t="shared" si="2"/>
        <v>0</v>
      </c>
      <c r="Q19" s="81" t="str">
        <f t="shared" si="28"/>
        <v/>
      </c>
      <c r="R19" s="74">
        <f t="shared" si="3"/>
        <v>0</v>
      </c>
      <c r="S19" s="80">
        <f t="shared" si="4"/>
        <v>0.3809523809523811</v>
      </c>
      <c r="T19" s="80">
        <f t="shared" si="5"/>
        <v>4.1779999999999998E-2</v>
      </c>
      <c r="U19" s="82"/>
      <c r="V19" s="164"/>
      <c r="W19" s="82"/>
      <c r="Y19" s="115">
        <f t="shared" si="6"/>
        <v>0</v>
      </c>
      <c r="Z19" s="116">
        <f t="shared" si="7"/>
        <v>4.1779999999999998E-2</v>
      </c>
      <c r="AA19" s="72">
        <f t="shared" si="8"/>
        <v>0.2916666666666668</v>
      </c>
      <c r="AB19" s="77">
        <f t="shared" si="9"/>
        <v>4.1666666666666685E-2</v>
      </c>
      <c r="AC19" s="116">
        <f t="shared" si="10"/>
        <v>0.33333333333333348</v>
      </c>
      <c r="AD19" s="116">
        <f t="shared" si="11"/>
        <v>0.375</v>
      </c>
      <c r="AE19" s="116">
        <f t="shared" si="12"/>
        <v>0</v>
      </c>
      <c r="AF19" s="117">
        <f t="shared" si="13"/>
        <v>0.375</v>
      </c>
      <c r="AG19" s="116">
        <f t="shared" si="14"/>
        <v>4.1666666666666664E-2</v>
      </c>
      <c r="AH19" s="77">
        <f t="shared" si="15"/>
        <v>0</v>
      </c>
      <c r="AI19" s="115">
        <f t="shared" si="16"/>
        <v>0.33333333333333348</v>
      </c>
      <c r="AJ19" s="76">
        <f t="shared" si="17"/>
        <v>4.7619047619047616E-2</v>
      </c>
      <c r="AK19" s="116">
        <f t="shared" si="18"/>
        <v>0.3809523809523811</v>
      </c>
      <c r="AL19" s="115">
        <f t="shared" si="19"/>
        <v>0</v>
      </c>
      <c r="AM19" s="115">
        <f t="shared" si="20"/>
        <v>0.3809523809523811</v>
      </c>
    </row>
    <row r="20" spans="1:39" ht="18" customHeight="1" x14ac:dyDescent="0.2">
      <c r="A20" s="29">
        <f t="shared" si="21"/>
        <v>2</v>
      </c>
      <c r="B20" s="78">
        <f t="shared" si="29"/>
        <v>46216</v>
      </c>
      <c r="C20" s="79">
        <f t="shared" si="22"/>
        <v>46216</v>
      </c>
      <c r="D20" s="250"/>
      <c r="E20" s="245"/>
      <c r="F20" s="245"/>
      <c r="G20" s="245"/>
      <c r="H20" s="245"/>
      <c r="I20" s="255">
        <f t="shared" si="23"/>
        <v>0</v>
      </c>
      <c r="J20" s="255">
        <f t="shared" si="24"/>
        <v>0</v>
      </c>
      <c r="K20" s="255">
        <f t="shared" si="25"/>
        <v>0</v>
      </c>
      <c r="L20" s="255">
        <f t="shared" si="26"/>
        <v>0</v>
      </c>
      <c r="M20" s="72">
        <f t="shared" si="27"/>
        <v>0</v>
      </c>
      <c r="N20" s="73">
        <f t="shared" si="0"/>
        <v>0</v>
      </c>
      <c r="O20" s="80">
        <f t="shared" si="1"/>
        <v>0</v>
      </c>
      <c r="P20" s="81">
        <f t="shared" si="2"/>
        <v>0.33333333333333331</v>
      </c>
      <c r="Q20" s="81" t="str">
        <f t="shared" si="28"/>
        <v/>
      </c>
      <c r="R20" s="74">
        <f t="shared" si="3"/>
        <v>0</v>
      </c>
      <c r="S20" s="80">
        <f t="shared" si="4"/>
        <v>0</v>
      </c>
      <c r="T20" s="80">
        <f t="shared" si="5"/>
        <v>0</v>
      </c>
      <c r="U20" s="82"/>
      <c r="V20" s="125"/>
      <c r="W20" s="169"/>
      <c r="Y20" s="115">
        <f t="shared" si="6"/>
        <v>0</v>
      </c>
      <c r="Z20" s="116">
        <f t="shared" si="7"/>
        <v>0</v>
      </c>
      <c r="AA20" s="72">
        <f t="shared" si="8"/>
        <v>0</v>
      </c>
      <c r="AB20" s="77">
        <f t="shared" si="9"/>
        <v>0</v>
      </c>
      <c r="AC20" s="116">
        <f t="shared" si="10"/>
        <v>0</v>
      </c>
      <c r="AD20" s="116">
        <f t="shared" si="11"/>
        <v>0</v>
      </c>
      <c r="AE20" s="116">
        <f t="shared" si="12"/>
        <v>0</v>
      </c>
      <c r="AF20" s="117">
        <f t="shared" si="13"/>
        <v>0</v>
      </c>
      <c r="AG20" s="116">
        <f t="shared" si="14"/>
        <v>0</v>
      </c>
      <c r="AH20" s="77">
        <f t="shared" si="15"/>
        <v>0</v>
      </c>
      <c r="AI20" s="115">
        <f t="shared" si="16"/>
        <v>0</v>
      </c>
      <c r="AJ20" s="76">
        <f t="shared" si="17"/>
        <v>0</v>
      </c>
      <c r="AK20" s="116">
        <f t="shared" si="18"/>
        <v>0</v>
      </c>
      <c r="AL20" s="115">
        <f t="shared" si="19"/>
        <v>0</v>
      </c>
      <c r="AM20" s="115">
        <f t="shared" si="20"/>
        <v>0</v>
      </c>
    </row>
    <row r="21" spans="1:39" ht="18" customHeight="1" x14ac:dyDescent="0.2">
      <c r="A21" s="29">
        <f t="shared" si="21"/>
        <v>3</v>
      </c>
      <c r="B21" s="78">
        <f t="shared" si="29"/>
        <v>46217</v>
      </c>
      <c r="C21" s="79">
        <f t="shared" si="22"/>
        <v>46217</v>
      </c>
      <c r="D21" s="250"/>
      <c r="E21" s="245">
        <v>2000</v>
      </c>
      <c r="F21" s="245">
        <v>100</v>
      </c>
      <c r="G21" s="245">
        <v>100</v>
      </c>
      <c r="H21" s="245">
        <v>500</v>
      </c>
      <c r="I21" s="255">
        <f t="shared" si="23"/>
        <v>0.83333333333333337</v>
      </c>
      <c r="J21" s="255">
        <f t="shared" si="24"/>
        <v>4.1666666666666664E-2</v>
      </c>
      <c r="K21" s="255">
        <f t="shared" si="25"/>
        <v>4.1666666666666664E-2</v>
      </c>
      <c r="L21" s="255">
        <f t="shared" si="26"/>
        <v>0.20833333333333334</v>
      </c>
      <c r="M21" s="72">
        <f t="shared" si="27"/>
        <v>8.3333333333333329E-2</v>
      </c>
      <c r="N21" s="73">
        <f t="shared" si="0"/>
        <v>0.333337142857143</v>
      </c>
      <c r="O21" s="80">
        <f t="shared" si="1"/>
        <v>0.41667047619047626</v>
      </c>
      <c r="P21" s="81">
        <f>IF(B21="","",IF(D21="F",jor_folga,VLOOKUP(A21,_jornada,3)))</f>
        <v>0.33333333333333331</v>
      </c>
      <c r="Q21" s="81" t="str">
        <f t="shared" si="28"/>
        <v/>
      </c>
      <c r="R21" s="74">
        <f t="shared" si="3"/>
        <v>8.3337142857142943E-2</v>
      </c>
      <c r="S21" s="80">
        <f t="shared" si="4"/>
        <v>0</v>
      </c>
      <c r="T21" s="80">
        <f t="shared" si="5"/>
        <v>4.1779999999999998E-2</v>
      </c>
      <c r="U21" s="82"/>
      <c r="V21" s="165"/>
      <c r="W21" s="166"/>
      <c r="Y21" s="115">
        <f t="shared" si="6"/>
        <v>0</v>
      </c>
      <c r="Z21" s="116">
        <f t="shared" si="7"/>
        <v>4.1779999999999998E-2</v>
      </c>
      <c r="AA21" s="72">
        <f t="shared" si="8"/>
        <v>0.2916666666666668</v>
      </c>
      <c r="AB21" s="77">
        <f t="shared" si="9"/>
        <v>4.1666666666666685E-2</v>
      </c>
      <c r="AC21" s="116">
        <f t="shared" si="10"/>
        <v>0.33333333333333348</v>
      </c>
      <c r="AD21" s="116">
        <f t="shared" si="11"/>
        <v>0.41666999999999998</v>
      </c>
      <c r="AE21" s="116">
        <f t="shared" si="12"/>
        <v>8.333666666666667E-2</v>
      </c>
      <c r="AF21" s="117">
        <f t="shared" si="13"/>
        <v>0</v>
      </c>
      <c r="AG21" s="116">
        <f t="shared" si="14"/>
        <v>3.3333333333333337E-6</v>
      </c>
      <c r="AH21" s="77">
        <f t="shared" si="15"/>
        <v>8.3333333333333259E-2</v>
      </c>
      <c r="AI21" s="115">
        <f t="shared" si="16"/>
        <v>0.33333333333333348</v>
      </c>
      <c r="AJ21" s="76">
        <f t="shared" si="17"/>
        <v>3.8095238095238098E-6</v>
      </c>
      <c r="AK21" s="116">
        <f t="shared" si="18"/>
        <v>0.41667047619047626</v>
      </c>
      <c r="AL21" s="115">
        <f t="shared" si="19"/>
        <v>8.3337142857142943E-2</v>
      </c>
      <c r="AM21" s="115">
        <f t="shared" si="20"/>
        <v>0</v>
      </c>
    </row>
    <row r="22" spans="1:39" ht="18" customHeight="1" x14ac:dyDescent="0.25">
      <c r="A22" s="29">
        <f t="shared" si="21"/>
        <v>4</v>
      </c>
      <c r="B22" s="78">
        <f t="shared" si="29"/>
        <v>46218</v>
      </c>
      <c r="C22" s="79">
        <f t="shared" si="22"/>
        <v>46218</v>
      </c>
      <c r="D22" s="250"/>
      <c r="E22" s="245">
        <v>2000</v>
      </c>
      <c r="F22" s="245">
        <v>100</v>
      </c>
      <c r="G22" s="245">
        <v>151</v>
      </c>
      <c r="H22" s="245">
        <v>600</v>
      </c>
      <c r="I22" s="255">
        <f t="shared" si="23"/>
        <v>0.83333333333333337</v>
      </c>
      <c r="J22" s="255">
        <f t="shared" si="24"/>
        <v>4.1666666666666664E-2</v>
      </c>
      <c r="K22" s="255">
        <f t="shared" si="25"/>
        <v>7.7083333333333337E-2</v>
      </c>
      <c r="L22" s="255">
        <f t="shared" si="26"/>
        <v>0.25</v>
      </c>
      <c r="M22" s="72">
        <f t="shared" si="27"/>
        <v>8.3333333333333329E-2</v>
      </c>
      <c r="N22" s="73">
        <f t="shared" si="0"/>
        <v>0.34047945578095251</v>
      </c>
      <c r="O22" s="80">
        <f t="shared" si="1"/>
        <v>0.42381278911428577</v>
      </c>
      <c r="P22" s="81">
        <f t="shared" si="2"/>
        <v>0.33333333333333331</v>
      </c>
      <c r="Q22" s="81" t="str">
        <f t="shared" si="28"/>
        <v/>
      </c>
      <c r="R22" s="74">
        <f t="shared" si="3"/>
        <v>9.0479455780952456E-2</v>
      </c>
      <c r="S22" s="80">
        <f t="shared" si="4"/>
        <v>0</v>
      </c>
      <c r="T22" s="80">
        <f t="shared" si="5"/>
        <v>6.3599999999999976E-3</v>
      </c>
      <c r="U22" s="82"/>
      <c r="V22" s="167"/>
      <c r="W22" s="168"/>
      <c r="Y22" s="115">
        <f t="shared" si="6"/>
        <v>3.542E-2</v>
      </c>
      <c r="Z22" s="116">
        <f t="shared" si="7"/>
        <v>4.1779999999999998E-2</v>
      </c>
      <c r="AA22" s="72">
        <f t="shared" si="8"/>
        <v>0.25625000000000009</v>
      </c>
      <c r="AB22" s="77">
        <f t="shared" si="9"/>
        <v>3.6607142857142894E-2</v>
      </c>
      <c r="AC22" s="116">
        <f t="shared" si="10"/>
        <v>0.29285714285714298</v>
      </c>
      <c r="AD22" s="116">
        <f t="shared" si="11"/>
        <v>0.41786000000000001</v>
      </c>
      <c r="AE22" s="116">
        <f t="shared" si="12"/>
        <v>8.4526666666666694E-2</v>
      </c>
      <c r="AF22" s="117">
        <f t="shared" si="13"/>
        <v>0</v>
      </c>
      <c r="AG22" s="116">
        <f t="shared" si="14"/>
        <v>4.1669523808333331E-2</v>
      </c>
      <c r="AH22" s="77">
        <f t="shared" si="15"/>
        <v>8.3333333333333259E-2</v>
      </c>
      <c r="AI22" s="115">
        <f t="shared" si="16"/>
        <v>0.29285714285714298</v>
      </c>
      <c r="AJ22" s="76">
        <f t="shared" si="17"/>
        <v>4.7622312923809522E-2</v>
      </c>
      <c r="AK22" s="116">
        <f t="shared" si="18"/>
        <v>0.42381278911428577</v>
      </c>
      <c r="AL22" s="115">
        <f t="shared" si="19"/>
        <v>9.0479455780952456E-2</v>
      </c>
      <c r="AM22" s="115">
        <f t="shared" si="20"/>
        <v>0</v>
      </c>
    </row>
    <row r="23" spans="1:39" ht="18" customHeight="1" x14ac:dyDescent="0.25">
      <c r="A23" s="29">
        <f t="shared" si="21"/>
        <v>5</v>
      </c>
      <c r="B23" s="78">
        <f t="shared" si="29"/>
        <v>46219</v>
      </c>
      <c r="C23" s="79">
        <f t="shared" si="22"/>
        <v>46219</v>
      </c>
      <c r="D23" s="250"/>
      <c r="E23" s="245">
        <v>1900</v>
      </c>
      <c r="F23" s="245">
        <v>2200</v>
      </c>
      <c r="G23" s="245">
        <v>2230</v>
      </c>
      <c r="H23" s="245">
        <v>500</v>
      </c>
      <c r="I23" s="255">
        <f t="shared" si="23"/>
        <v>0.79166666666666663</v>
      </c>
      <c r="J23" s="255">
        <f t="shared" si="24"/>
        <v>0.91666666666666663</v>
      </c>
      <c r="K23" s="255">
        <f t="shared" si="25"/>
        <v>0.9375</v>
      </c>
      <c r="L23" s="255">
        <f t="shared" si="26"/>
        <v>0.20833333333333334</v>
      </c>
      <c r="M23" s="72">
        <f t="shared" si="27"/>
        <v>0.125</v>
      </c>
      <c r="N23" s="73">
        <f t="shared" si="0"/>
        <v>0.30952816326666655</v>
      </c>
      <c r="O23" s="80">
        <f t="shared" si="1"/>
        <v>0.43452816326666655</v>
      </c>
      <c r="P23" s="81">
        <f t="shared" si="2"/>
        <v>0.33333333333333331</v>
      </c>
      <c r="Q23" s="81" t="str">
        <f t="shared" si="28"/>
        <v/>
      </c>
      <c r="R23" s="74">
        <f t="shared" si="3"/>
        <v>0.10119482993333323</v>
      </c>
      <c r="S23" s="80">
        <f t="shared" si="4"/>
        <v>0</v>
      </c>
      <c r="T23" s="80">
        <f t="shared" si="5"/>
        <v>2.0949999999999996E-2</v>
      </c>
      <c r="U23" s="82"/>
      <c r="V23" s="167"/>
      <c r="W23" s="168"/>
      <c r="Y23" s="115">
        <f t="shared" si="6"/>
        <v>2.0830000000000001E-2</v>
      </c>
      <c r="Z23" s="116">
        <f t="shared" si="7"/>
        <v>4.1779999999999998E-2</v>
      </c>
      <c r="AA23" s="72">
        <f t="shared" si="8"/>
        <v>0.27083333333333326</v>
      </c>
      <c r="AB23" s="77">
        <f t="shared" si="9"/>
        <v>3.8690476190476164E-2</v>
      </c>
      <c r="AC23" s="116">
        <f t="shared" si="10"/>
        <v>0.30952380952380942</v>
      </c>
      <c r="AD23" s="116">
        <f t="shared" si="11"/>
        <v>0.43452000000000002</v>
      </c>
      <c r="AE23" s="116">
        <f t="shared" si="12"/>
        <v>0.1011866666666667</v>
      </c>
      <c r="AF23" s="117">
        <f t="shared" si="13"/>
        <v>0</v>
      </c>
      <c r="AG23" s="116">
        <f t="shared" si="14"/>
        <v>3.8095249999999997E-6</v>
      </c>
      <c r="AH23" s="77">
        <f t="shared" si="15"/>
        <v>0.125</v>
      </c>
      <c r="AI23" s="115">
        <f t="shared" si="16"/>
        <v>0.30952380952380942</v>
      </c>
      <c r="AJ23" s="76">
        <f t="shared" si="17"/>
        <v>4.3537428571428566E-6</v>
      </c>
      <c r="AK23" s="116">
        <f t="shared" si="18"/>
        <v>0.43452816326666655</v>
      </c>
      <c r="AL23" s="115">
        <f t="shared" si="19"/>
        <v>0.10119482993333323</v>
      </c>
      <c r="AM23" s="115">
        <f t="shared" si="20"/>
        <v>0</v>
      </c>
    </row>
    <row r="24" spans="1:39" ht="18" customHeight="1" x14ac:dyDescent="0.2">
      <c r="A24" s="29">
        <f t="shared" si="21"/>
        <v>6</v>
      </c>
      <c r="B24" s="78">
        <f t="shared" si="29"/>
        <v>46220</v>
      </c>
      <c r="C24" s="79">
        <f t="shared" si="22"/>
        <v>46220</v>
      </c>
      <c r="D24" s="250"/>
      <c r="E24" s="245">
        <v>2000</v>
      </c>
      <c r="F24" s="245">
        <v>0</v>
      </c>
      <c r="G24" s="245">
        <v>15</v>
      </c>
      <c r="H24" s="245">
        <v>500</v>
      </c>
      <c r="I24" s="255">
        <f t="shared" si="23"/>
        <v>0.83333333333333337</v>
      </c>
      <c r="J24" s="255">
        <f t="shared" si="24"/>
        <v>0</v>
      </c>
      <c r="K24" s="255">
        <f t="shared" si="25"/>
        <v>1.0416666666666666E-2</v>
      </c>
      <c r="L24" s="255">
        <f t="shared" si="26"/>
        <v>0.20833333333333334</v>
      </c>
      <c r="M24" s="72">
        <f t="shared" si="27"/>
        <v>8.3333333333333329E-2</v>
      </c>
      <c r="N24" s="73">
        <f t="shared" si="0"/>
        <v>0.32143074830000007</v>
      </c>
      <c r="O24" s="80">
        <f t="shared" si="1"/>
        <v>0.40476408163333333</v>
      </c>
      <c r="P24" s="81">
        <f t="shared" si="2"/>
        <v>0.33333333333333331</v>
      </c>
      <c r="Q24" s="81" t="str">
        <f t="shared" si="28"/>
        <v/>
      </c>
      <c r="R24" s="74">
        <f t="shared" si="3"/>
        <v>7.1430748300000013E-2</v>
      </c>
      <c r="S24" s="80">
        <f t="shared" si="4"/>
        <v>0</v>
      </c>
      <c r="T24" s="80">
        <f t="shared" si="5"/>
        <v>3.1359999999999999E-2</v>
      </c>
      <c r="U24" s="82"/>
      <c r="V24" s="82"/>
      <c r="W24" s="82"/>
      <c r="Y24" s="115">
        <f t="shared" si="6"/>
        <v>1.042E-2</v>
      </c>
      <c r="Z24" s="116">
        <f t="shared" si="7"/>
        <v>4.1779999999999998E-2</v>
      </c>
      <c r="AA24" s="72">
        <f t="shared" si="8"/>
        <v>0.28125000000000006</v>
      </c>
      <c r="AB24" s="77">
        <f t="shared" si="9"/>
        <v>4.0178571428571452E-2</v>
      </c>
      <c r="AC24" s="116">
        <f t="shared" si="10"/>
        <v>0.32142857142857151</v>
      </c>
      <c r="AD24" s="116">
        <f t="shared" si="11"/>
        <v>0.40476000000000001</v>
      </c>
      <c r="AE24" s="116">
        <f t="shared" si="12"/>
        <v>7.1426666666666694E-2</v>
      </c>
      <c r="AF24" s="117">
        <f t="shared" si="13"/>
        <v>0</v>
      </c>
      <c r="AG24" s="116">
        <f t="shared" si="14"/>
        <v>1.9047624999999999E-6</v>
      </c>
      <c r="AH24" s="77">
        <f t="shared" si="15"/>
        <v>8.3333333333333259E-2</v>
      </c>
      <c r="AI24" s="115">
        <f t="shared" si="16"/>
        <v>0.32142857142857151</v>
      </c>
      <c r="AJ24" s="76">
        <f t="shared" si="17"/>
        <v>2.1768714285714283E-6</v>
      </c>
      <c r="AK24" s="116">
        <f t="shared" si="18"/>
        <v>0.40476408163333333</v>
      </c>
      <c r="AL24" s="115">
        <f t="shared" si="19"/>
        <v>7.1430748300000013E-2</v>
      </c>
      <c r="AM24" s="115">
        <f t="shared" si="20"/>
        <v>0</v>
      </c>
    </row>
    <row r="25" spans="1:39" ht="18" customHeight="1" x14ac:dyDescent="0.2">
      <c r="A25" s="29">
        <f t="shared" si="21"/>
        <v>7</v>
      </c>
      <c r="B25" s="78">
        <f t="shared" si="29"/>
        <v>46221</v>
      </c>
      <c r="C25" s="79">
        <f t="shared" si="22"/>
        <v>46221</v>
      </c>
      <c r="D25" s="250"/>
      <c r="E25" s="245"/>
      <c r="F25" s="245"/>
      <c r="G25" s="245"/>
      <c r="H25" s="245"/>
      <c r="I25" s="255">
        <f t="shared" si="23"/>
        <v>0</v>
      </c>
      <c r="J25" s="255">
        <f t="shared" si="24"/>
        <v>0</v>
      </c>
      <c r="K25" s="255">
        <f t="shared" si="25"/>
        <v>0</v>
      </c>
      <c r="L25" s="255">
        <f t="shared" si="26"/>
        <v>0</v>
      </c>
      <c r="M25" s="72">
        <f t="shared" si="27"/>
        <v>0</v>
      </c>
      <c r="N25" s="73">
        <f t="shared" si="0"/>
        <v>0</v>
      </c>
      <c r="O25" s="80">
        <f t="shared" si="1"/>
        <v>0</v>
      </c>
      <c r="P25" s="81">
        <f t="shared" si="2"/>
        <v>0.16666666666666666</v>
      </c>
      <c r="Q25" s="81" t="str">
        <f t="shared" si="28"/>
        <v/>
      </c>
      <c r="R25" s="74">
        <f t="shared" si="3"/>
        <v>0</v>
      </c>
      <c r="S25" s="80">
        <f t="shared" si="4"/>
        <v>0</v>
      </c>
      <c r="T25" s="80">
        <f t="shared" si="5"/>
        <v>0</v>
      </c>
      <c r="U25" s="82"/>
      <c r="V25" s="82"/>
      <c r="W25" s="82"/>
      <c r="Y25" s="115">
        <f t="shared" si="6"/>
        <v>0</v>
      </c>
      <c r="Z25" s="116">
        <f t="shared" si="7"/>
        <v>0</v>
      </c>
      <c r="AA25" s="72">
        <f t="shared" si="8"/>
        <v>0</v>
      </c>
      <c r="AB25" s="77">
        <f t="shared" si="9"/>
        <v>0</v>
      </c>
      <c r="AC25" s="116">
        <f t="shared" si="10"/>
        <v>0</v>
      </c>
      <c r="AD25" s="116">
        <f t="shared" si="11"/>
        <v>0</v>
      </c>
      <c r="AE25" s="116">
        <f t="shared" si="12"/>
        <v>0</v>
      </c>
      <c r="AF25" s="117">
        <f t="shared" si="13"/>
        <v>0</v>
      </c>
      <c r="AG25" s="116">
        <f t="shared" si="14"/>
        <v>0</v>
      </c>
      <c r="AH25" s="77">
        <f t="shared" si="15"/>
        <v>0</v>
      </c>
      <c r="AI25" s="115">
        <f t="shared" si="16"/>
        <v>0</v>
      </c>
      <c r="AJ25" s="76">
        <f t="shared" si="17"/>
        <v>0</v>
      </c>
      <c r="AK25" s="116">
        <f t="shared" si="18"/>
        <v>0</v>
      </c>
      <c r="AL25" s="115">
        <f t="shared" si="19"/>
        <v>0</v>
      </c>
      <c r="AM25" s="115">
        <f t="shared" si="20"/>
        <v>0</v>
      </c>
    </row>
    <row r="26" spans="1:39" ht="18" customHeight="1" x14ac:dyDescent="0.2">
      <c r="A26" s="29">
        <f t="shared" si="21"/>
        <v>1</v>
      </c>
      <c r="B26" s="78">
        <f t="shared" si="29"/>
        <v>46222</v>
      </c>
      <c r="C26" s="79">
        <f t="shared" si="22"/>
        <v>46222</v>
      </c>
      <c r="D26" s="250"/>
      <c r="E26" s="245"/>
      <c r="F26" s="245"/>
      <c r="G26" s="245"/>
      <c r="H26" s="245"/>
      <c r="I26" s="255">
        <f t="shared" si="23"/>
        <v>0</v>
      </c>
      <c r="J26" s="255">
        <f t="shared" si="24"/>
        <v>0</v>
      </c>
      <c r="K26" s="255">
        <f t="shared" si="25"/>
        <v>0</v>
      </c>
      <c r="L26" s="255">
        <f t="shared" si="26"/>
        <v>0</v>
      </c>
      <c r="M26" s="72">
        <f t="shared" si="27"/>
        <v>0</v>
      </c>
      <c r="N26" s="73">
        <f t="shared" si="0"/>
        <v>0</v>
      </c>
      <c r="O26" s="80">
        <f t="shared" si="1"/>
        <v>0</v>
      </c>
      <c r="P26" s="81">
        <f t="shared" si="2"/>
        <v>0</v>
      </c>
      <c r="Q26" s="81" t="str">
        <f t="shared" si="28"/>
        <v/>
      </c>
      <c r="R26" s="74">
        <f t="shared" si="3"/>
        <v>0</v>
      </c>
      <c r="S26" s="80">
        <f t="shared" si="4"/>
        <v>0</v>
      </c>
      <c r="T26" s="80">
        <f t="shared" si="5"/>
        <v>0</v>
      </c>
      <c r="U26" s="82"/>
      <c r="V26" s="82"/>
      <c r="W26" s="82"/>
      <c r="Y26" s="115">
        <f t="shared" si="6"/>
        <v>0</v>
      </c>
      <c r="Z26" s="116">
        <f t="shared" si="7"/>
        <v>0</v>
      </c>
      <c r="AA26" s="72">
        <f t="shared" si="8"/>
        <v>0</v>
      </c>
      <c r="AB26" s="77">
        <f t="shared" si="9"/>
        <v>0</v>
      </c>
      <c r="AC26" s="116">
        <f t="shared" si="10"/>
        <v>0</v>
      </c>
      <c r="AD26" s="116">
        <f t="shared" si="11"/>
        <v>0</v>
      </c>
      <c r="AE26" s="116">
        <f t="shared" si="12"/>
        <v>0</v>
      </c>
      <c r="AF26" s="117">
        <f t="shared" si="13"/>
        <v>0</v>
      </c>
      <c r="AG26" s="116">
        <f t="shared" si="14"/>
        <v>0</v>
      </c>
      <c r="AH26" s="77">
        <f t="shared" si="15"/>
        <v>0</v>
      </c>
      <c r="AI26" s="115">
        <f t="shared" si="16"/>
        <v>0</v>
      </c>
      <c r="AJ26" s="76">
        <f t="shared" si="17"/>
        <v>0</v>
      </c>
      <c r="AK26" s="116">
        <f t="shared" si="18"/>
        <v>0</v>
      </c>
      <c r="AL26" s="115">
        <f t="shared" si="19"/>
        <v>0</v>
      </c>
      <c r="AM26" s="115">
        <f t="shared" si="20"/>
        <v>0</v>
      </c>
    </row>
    <row r="27" spans="1:39" ht="18" customHeight="1" x14ac:dyDescent="0.2">
      <c r="A27" s="29">
        <f t="shared" si="21"/>
        <v>2</v>
      </c>
      <c r="B27" s="78">
        <f t="shared" si="29"/>
        <v>46223</v>
      </c>
      <c r="C27" s="79">
        <f t="shared" si="22"/>
        <v>46223</v>
      </c>
      <c r="D27" s="250"/>
      <c r="E27" s="245">
        <v>1700</v>
      </c>
      <c r="F27" s="245">
        <v>2100</v>
      </c>
      <c r="G27" s="245">
        <v>2200</v>
      </c>
      <c r="H27" s="245">
        <v>400</v>
      </c>
      <c r="I27" s="255">
        <f t="shared" si="23"/>
        <v>0.70833333333333337</v>
      </c>
      <c r="J27" s="255">
        <f t="shared" si="24"/>
        <v>0.875</v>
      </c>
      <c r="K27" s="255">
        <f t="shared" si="25"/>
        <v>0.91666666666666663</v>
      </c>
      <c r="L27" s="255">
        <f t="shared" si="26"/>
        <v>0.16666666666666666</v>
      </c>
      <c r="M27" s="72">
        <f t="shared" si="27"/>
        <v>0.16666666666666666</v>
      </c>
      <c r="N27" s="73">
        <f t="shared" si="0"/>
        <v>0.28571537414761922</v>
      </c>
      <c r="O27" s="80">
        <f t="shared" si="1"/>
        <v>0.45238204081428585</v>
      </c>
      <c r="P27" s="81">
        <f t="shared" si="2"/>
        <v>0.33333333333333331</v>
      </c>
      <c r="Q27" s="81" t="str">
        <f t="shared" si="28"/>
        <v/>
      </c>
      <c r="R27" s="74">
        <f t="shared" si="3"/>
        <v>0.11904870748095253</v>
      </c>
      <c r="S27" s="80">
        <f t="shared" si="4"/>
        <v>0</v>
      </c>
      <c r="T27" s="80">
        <f t="shared" si="5"/>
        <v>0</v>
      </c>
      <c r="U27" s="82"/>
      <c r="V27" s="82"/>
      <c r="W27" s="82"/>
      <c r="Y27" s="115">
        <f t="shared" si="6"/>
        <v>4.1669999999999999E-2</v>
      </c>
      <c r="Z27" s="116">
        <f t="shared" si="7"/>
        <v>4.1779999999999998E-2</v>
      </c>
      <c r="AA27" s="72">
        <f t="shared" si="8"/>
        <v>0.25000000000000011</v>
      </c>
      <c r="AB27" s="77">
        <f t="shared" si="9"/>
        <v>3.5714285714285754E-2</v>
      </c>
      <c r="AC27" s="116">
        <f t="shared" si="10"/>
        <v>0.28571428571428586</v>
      </c>
      <c r="AD27" s="116">
        <f t="shared" si="11"/>
        <v>0.45238</v>
      </c>
      <c r="AE27" s="116">
        <f t="shared" si="12"/>
        <v>0.11904666666666669</v>
      </c>
      <c r="AF27" s="117">
        <f t="shared" si="13"/>
        <v>0</v>
      </c>
      <c r="AG27" s="116">
        <f t="shared" si="14"/>
        <v>9.523791666666666E-7</v>
      </c>
      <c r="AH27" s="77">
        <f t="shared" si="15"/>
        <v>0.16666666666666663</v>
      </c>
      <c r="AI27" s="115">
        <f t="shared" si="16"/>
        <v>0.28571428571428586</v>
      </c>
      <c r="AJ27" s="76">
        <f t="shared" si="17"/>
        <v>1.0884333333333332E-6</v>
      </c>
      <c r="AK27" s="116">
        <f t="shared" si="18"/>
        <v>0.45238204081428585</v>
      </c>
      <c r="AL27" s="115">
        <f t="shared" si="19"/>
        <v>0.11904870748095253</v>
      </c>
      <c r="AM27" s="115">
        <f t="shared" si="20"/>
        <v>0</v>
      </c>
    </row>
    <row r="28" spans="1:39" ht="18" customHeight="1" x14ac:dyDescent="0.2">
      <c r="A28" s="29">
        <f t="shared" si="21"/>
        <v>3</v>
      </c>
      <c r="B28" s="78">
        <f t="shared" si="29"/>
        <v>46224</v>
      </c>
      <c r="C28" s="79">
        <f t="shared" si="22"/>
        <v>46224</v>
      </c>
      <c r="D28" s="250"/>
      <c r="E28" s="245"/>
      <c r="F28" s="245"/>
      <c r="G28" s="245"/>
      <c r="H28" s="245"/>
      <c r="I28" s="255">
        <f t="shared" si="23"/>
        <v>0</v>
      </c>
      <c r="J28" s="255">
        <f t="shared" si="24"/>
        <v>0</v>
      </c>
      <c r="K28" s="255">
        <f t="shared" si="25"/>
        <v>0</v>
      </c>
      <c r="L28" s="255">
        <f t="shared" si="26"/>
        <v>0</v>
      </c>
      <c r="M28" s="72">
        <f t="shared" si="27"/>
        <v>0</v>
      </c>
      <c r="N28" s="73">
        <f t="shared" si="0"/>
        <v>0</v>
      </c>
      <c r="O28" s="80">
        <f t="shared" si="1"/>
        <v>0</v>
      </c>
      <c r="P28" s="81">
        <f t="shared" si="2"/>
        <v>0.33333333333333331</v>
      </c>
      <c r="Q28" s="81" t="str">
        <f t="shared" si="28"/>
        <v/>
      </c>
      <c r="R28" s="74">
        <f t="shared" si="3"/>
        <v>0</v>
      </c>
      <c r="S28" s="80">
        <f t="shared" si="4"/>
        <v>0</v>
      </c>
      <c r="T28" s="80">
        <f t="shared" si="5"/>
        <v>0</v>
      </c>
      <c r="U28" s="82"/>
      <c r="V28" s="82"/>
      <c r="W28" s="82"/>
      <c r="Y28" s="115">
        <f t="shared" si="6"/>
        <v>0</v>
      </c>
      <c r="Z28" s="116">
        <f t="shared" si="7"/>
        <v>0</v>
      </c>
      <c r="AA28" s="72">
        <f t="shared" si="8"/>
        <v>0</v>
      </c>
      <c r="AB28" s="77">
        <f t="shared" si="9"/>
        <v>0</v>
      </c>
      <c r="AC28" s="116">
        <f t="shared" si="10"/>
        <v>0</v>
      </c>
      <c r="AD28" s="116">
        <f t="shared" si="11"/>
        <v>0</v>
      </c>
      <c r="AE28" s="116">
        <f t="shared" si="12"/>
        <v>0</v>
      </c>
      <c r="AF28" s="117">
        <f t="shared" si="13"/>
        <v>0</v>
      </c>
      <c r="AG28" s="116">
        <f t="shared" si="14"/>
        <v>0</v>
      </c>
      <c r="AH28" s="77">
        <f t="shared" si="15"/>
        <v>0</v>
      </c>
      <c r="AI28" s="115">
        <f t="shared" si="16"/>
        <v>0</v>
      </c>
      <c r="AJ28" s="76">
        <f t="shared" si="17"/>
        <v>0</v>
      </c>
      <c r="AK28" s="116">
        <f t="shared" si="18"/>
        <v>0</v>
      </c>
      <c r="AL28" s="115">
        <f t="shared" si="19"/>
        <v>0</v>
      </c>
      <c r="AM28" s="115">
        <f t="shared" si="20"/>
        <v>0</v>
      </c>
    </row>
    <row r="29" spans="1:39" ht="18" customHeight="1" x14ac:dyDescent="0.2">
      <c r="A29" s="29">
        <f t="shared" si="21"/>
        <v>4</v>
      </c>
      <c r="B29" s="78">
        <f t="shared" si="29"/>
        <v>46225</v>
      </c>
      <c r="C29" s="79">
        <f t="shared" si="22"/>
        <v>46225</v>
      </c>
      <c r="D29" s="250" t="s">
        <v>125</v>
      </c>
      <c r="E29" s="245">
        <v>800</v>
      </c>
      <c r="F29" s="245">
        <v>1200</v>
      </c>
      <c r="G29" s="245"/>
      <c r="H29" s="245"/>
      <c r="I29" s="255">
        <f t="shared" si="23"/>
        <v>0.33333333333333331</v>
      </c>
      <c r="J29" s="255">
        <f t="shared" si="24"/>
        <v>0.5</v>
      </c>
      <c r="K29" s="255">
        <f t="shared" si="25"/>
        <v>0</v>
      </c>
      <c r="L29" s="255">
        <f t="shared" si="26"/>
        <v>0</v>
      </c>
      <c r="M29" s="72">
        <f t="shared" si="27"/>
        <v>0.16666666666666666</v>
      </c>
      <c r="N29" s="73">
        <f t="shared" si="0"/>
        <v>3.3333333333333337E-6</v>
      </c>
      <c r="O29" s="80">
        <f t="shared" si="1"/>
        <v>0.16667000000000001</v>
      </c>
      <c r="P29" s="81">
        <f t="shared" si="2"/>
        <v>0.33333333333333331</v>
      </c>
      <c r="Q29" s="81">
        <f t="shared" si="28"/>
        <v>0.1666633333333333</v>
      </c>
      <c r="R29" s="74">
        <f t="shared" si="3"/>
        <v>0</v>
      </c>
      <c r="S29" s="80">
        <f t="shared" si="4"/>
        <v>0</v>
      </c>
      <c r="T29" s="80">
        <f t="shared" si="5"/>
        <v>0</v>
      </c>
      <c r="U29" s="82"/>
      <c r="V29" s="82"/>
      <c r="W29" s="82"/>
      <c r="Y29" s="115">
        <f t="shared" si="6"/>
        <v>0</v>
      </c>
      <c r="Z29" s="116">
        <f t="shared" si="7"/>
        <v>0</v>
      </c>
      <c r="AA29" s="72">
        <f t="shared" si="8"/>
        <v>0</v>
      </c>
      <c r="AB29" s="77">
        <f t="shared" si="9"/>
        <v>0</v>
      </c>
      <c r="AC29" s="116">
        <f t="shared" si="10"/>
        <v>0</v>
      </c>
      <c r="AD29" s="116">
        <f t="shared" si="11"/>
        <v>0.16667000000000001</v>
      </c>
      <c r="AE29" s="116">
        <f t="shared" si="12"/>
        <v>0</v>
      </c>
      <c r="AF29" s="117">
        <f t="shared" si="13"/>
        <v>0</v>
      </c>
      <c r="AG29" s="116">
        <f t="shared" si="14"/>
        <v>3.3333333333333337E-6</v>
      </c>
      <c r="AH29" s="77">
        <f t="shared" si="15"/>
        <v>0.16666666666666669</v>
      </c>
      <c r="AI29" s="115">
        <f t="shared" si="16"/>
        <v>0</v>
      </c>
      <c r="AJ29" s="76">
        <f t="shared" si="17"/>
        <v>3.3333333333333337E-6</v>
      </c>
      <c r="AK29" s="116">
        <f t="shared" si="18"/>
        <v>0.16667000000000001</v>
      </c>
      <c r="AL29" s="115">
        <f t="shared" si="19"/>
        <v>0</v>
      </c>
      <c r="AM29" s="115">
        <f t="shared" si="20"/>
        <v>0</v>
      </c>
    </row>
    <row r="30" spans="1:39" ht="18" customHeight="1" x14ac:dyDescent="0.2">
      <c r="A30" s="29">
        <f t="shared" si="21"/>
        <v>5</v>
      </c>
      <c r="B30" s="78">
        <f t="shared" si="29"/>
        <v>46226</v>
      </c>
      <c r="C30" s="79">
        <f t="shared" si="22"/>
        <v>46226</v>
      </c>
      <c r="D30" s="250"/>
      <c r="E30" s="245"/>
      <c r="F30" s="245"/>
      <c r="G30" s="245"/>
      <c r="H30" s="245"/>
      <c r="I30" s="255">
        <f t="shared" si="23"/>
        <v>0</v>
      </c>
      <c r="J30" s="255">
        <f t="shared" si="24"/>
        <v>0</v>
      </c>
      <c r="K30" s="255">
        <f t="shared" si="25"/>
        <v>0</v>
      </c>
      <c r="L30" s="255">
        <f t="shared" si="26"/>
        <v>0</v>
      </c>
      <c r="M30" s="72">
        <f t="shared" si="27"/>
        <v>0</v>
      </c>
      <c r="N30" s="73">
        <f t="shared" si="0"/>
        <v>0</v>
      </c>
      <c r="O30" s="80">
        <f t="shared" si="1"/>
        <v>0</v>
      </c>
      <c r="P30" s="81">
        <f t="shared" si="2"/>
        <v>0.33333333333333331</v>
      </c>
      <c r="Q30" s="81" t="str">
        <f t="shared" si="28"/>
        <v/>
      </c>
      <c r="R30" s="74">
        <f t="shared" si="3"/>
        <v>0</v>
      </c>
      <c r="S30" s="80">
        <f t="shared" si="4"/>
        <v>0</v>
      </c>
      <c r="T30" s="80">
        <f t="shared" si="5"/>
        <v>0</v>
      </c>
      <c r="U30" s="82"/>
      <c r="V30" s="82"/>
      <c r="W30" s="82"/>
      <c r="Y30" s="115">
        <f t="shared" si="6"/>
        <v>0</v>
      </c>
      <c r="Z30" s="116">
        <f t="shared" si="7"/>
        <v>0</v>
      </c>
      <c r="AA30" s="72">
        <f t="shared" si="8"/>
        <v>0</v>
      </c>
      <c r="AB30" s="77">
        <f t="shared" si="9"/>
        <v>0</v>
      </c>
      <c r="AC30" s="116">
        <f t="shared" si="10"/>
        <v>0</v>
      </c>
      <c r="AD30" s="116">
        <f t="shared" si="11"/>
        <v>0</v>
      </c>
      <c r="AE30" s="116">
        <f t="shared" si="12"/>
        <v>0</v>
      </c>
      <c r="AF30" s="117">
        <f t="shared" si="13"/>
        <v>0</v>
      </c>
      <c r="AG30" s="116">
        <f t="shared" si="14"/>
        <v>0</v>
      </c>
      <c r="AH30" s="77">
        <f t="shared" si="15"/>
        <v>0</v>
      </c>
      <c r="AI30" s="115">
        <f t="shared" si="16"/>
        <v>0</v>
      </c>
      <c r="AJ30" s="76">
        <f t="shared" si="17"/>
        <v>0</v>
      </c>
      <c r="AK30" s="116">
        <f t="shared" si="18"/>
        <v>0</v>
      </c>
      <c r="AL30" s="115">
        <f t="shared" si="19"/>
        <v>0</v>
      </c>
      <c r="AM30" s="115">
        <f t="shared" si="20"/>
        <v>0</v>
      </c>
    </row>
    <row r="31" spans="1:39" ht="18" customHeight="1" x14ac:dyDescent="0.2">
      <c r="A31" s="29">
        <f t="shared" si="21"/>
        <v>6</v>
      </c>
      <c r="B31" s="78">
        <f t="shared" si="29"/>
        <v>46227</v>
      </c>
      <c r="C31" s="79">
        <f>IF(B31="","",IF(COUNTIF(fer,B31)&gt;0,"feriado",B31))</f>
        <v>46227</v>
      </c>
      <c r="D31" s="250" t="s">
        <v>119</v>
      </c>
      <c r="E31" s="245"/>
      <c r="F31" s="245"/>
      <c r="G31" s="245"/>
      <c r="H31" s="245"/>
      <c r="I31" s="255">
        <f t="shared" si="23"/>
        <v>0</v>
      </c>
      <c r="J31" s="255">
        <f t="shared" si="24"/>
        <v>0</v>
      </c>
      <c r="K31" s="255">
        <f t="shared" si="25"/>
        <v>0</v>
      </c>
      <c r="L31" s="255">
        <f t="shared" si="26"/>
        <v>0</v>
      </c>
      <c r="M31" s="72">
        <f t="shared" si="27"/>
        <v>0</v>
      </c>
      <c r="N31" s="73">
        <f t="shared" si="0"/>
        <v>0</v>
      </c>
      <c r="O31" s="80">
        <f t="shared" si="1"/>
        <v>0</v>
      </c>
      <c r="P31" s="81">
        <f t="shared" si="2"/>
        <v>0</v>
      </c>
      <c r="Q31" s="81" t="str">
        <f t="shared" si="28"/>
        <v/>
      </c>
      <c r="R31" s="74">
        <f t="shared" si="3"/>
        <v>0</v>
      </c>
      <c r="S31" s="80">
        <f t="shared" si="4"/>
        <v>0</v>
      </c>
      <c r="T31" s="80">
        <f t="shared" si="5"/>
        <v>0</v>
      </c>
      <c r="U31" s="82"/>
      <c r="V31" s="82"/>
      <c r="W31" s="82"/>
      <c r="Y31" s="115">
        <f t="shared" si="6"/>
        <v>0</v>
      </c>
      <c r="Z31" s="116">
        <f t="shared" si="7"/>
        <v>0</v>
      </c>
      <c r="AA31" s="72">
        <f t="shared" si="8"/>
        <v>0</v>
      </c>
      <c r="AB31" s="77">
        <f t="shared" si="9"/>
        <v>0</v>
      </c>
      <c r="AC31" s="116">
        <f t="shared" si="10"/>
        <v>0</v>
      </c>
      <c r="AD31" s="116">
        <f t="shared" si="11"/>
        <v>0</v>
      </c>
      <c r="AE31" s="116">
        <f t="shared" si="12"/>
        <v>0</v>
      </c>
      <c r="AF31" s="117">
        <f t="shared" si="13"/>
        <v>0</v>
      </c>
      <c r="AG31" s="116">
        <f t="shared" si="14"/>
        <v>0</v>
      </c>
      <c r="AH31" s="77">
        <f t="shared" si="15"/>
        <v>0</v>
      </c>
      <c r="AI31" s="115">
        <f t="shared" si="16"/>
        <v>0</v>
      </c>
      <c r="AJ31" s="76">
        <f t="shared" si="17"/>
        <v>0</v>
      </c>
      <c r="AK31" s="116">
        <f t="shared" si="18"/>
        <v>0</v>
      </c>
      <c r="AL31" s="115">
        <f t="shared" si="19"/>
        <v>0</v>
      </c>
      <c r="AM31" s="115">
        <f t="shared" si="20"/>
        <v>0</v>
      </c>
    </row>
    <row r="32" spans="1:39" ht="18" customHeight="1" x14ac:dyDescent="0.2">
      <c r="A32" s="29">
        <f t="shared" si="21"/>
        <v>7</v>
      </c>
      <c r="B32" s="78">
        <f t="shared" si="29"/>
        <v>46228</v>
      </c>
      <c r="C32" s="79">
        <f t="shared" si="22"/>
        <v>46228</v>
      </c>
      <c r="D32" s="250"/>
      <c r="E32" s="245"/>
      <c r="F32" s="245"/>
      <c r="G32" s="245"/>
      <c r="H32" s="245"/>
      <c r="I32" s="255">
        <f t="shared" si="23"/>
        <v>0</v>
      </c>
      <c r="J32" s="255">
        <f t="shared" si="24"/>
        <v>0</v>
      </c>
      <c r="K32" s="255">
        <f t="shared" si="25"/>
        <v>0</v>
      </c>
      <c r="L32" s="255">
        <f t="shared" si="26"/>
        <v>0</v>
      </c>
      <c r="M32" s="72">
        <f t="shared" si="27"/>
        <v>0</v>
      </c>
      <c r="N32" s="73">
        <f t="shared" si="0"/>
        <v>0</v>
      </c>
      <c r="O32" s="80">
        <f t="shared" si="1"/>
        <v>0</v>
      </c>
      <c r="P32" s="81">
        <f t="shared" si="2"/>
        <v>0.16666666666666666</v>
      </c>
      <c r="Q32" s="81" t="str">
        <f t="shared" si="28"/>
        <v/>
      </c>
      <c r="R32" s="74">
        <f t="shared" si="3"/>
        <v>0</v>
      </c>
      <c r="S32" s="80">
        <f t="shared" si="4"/>
        <v>0</v>
      </c>
      <c r="T32" s="80">
        <f t="shared" si="5"/>
        <v>0</v>
      </c>
      <c r="U32" s="82"/>
      <c r="V32" s="82"/>
      <c r="W32" s="82"/>
      <c r="Y32" s="115">
        <f t="shared" si="6"/>
        <v>0</v>
      </c>
      <c r="Z32" s="116">
        <f t="shared" si="7"/>
        <v>0</v>
      </c>
      <c r="AA32" s="72">
        <f t="shared" si="8"/>
        <v>0</v>
      </c>
      <c r="AB32" s="77">
        <f t="shared" si="9"/>
        <v>0</v>
      </c>
      <c r="AC32" s="116">
        <f t="shared" si="10"/>
        <v>0</v>
      </c>
      <c r="AD32" s="116">
        <f t="shared" si="11"/>
        <v>0</v>
      </c>
      <c r="AE32" s="116">
        <f t="shared" si="12"/>
        <v>0</v>
      </c>
      <c r="AF32" s="117">
        <f t="shared" si="13"/>
        <v>0</v>
      </c>
      <c r="AG32" s="116">
        <f t="shared" si="14"/>
        <v>0</v>
      </c>
      <c r="AH32" s="77">
        <f t="shared" si="15"/>
        <v>0</v>
      </c>
      <c r="AI32" s="115">
        <f t="shared" si="16"/>
        <v>0</v>
      </c>
      <c r="AJ32" s="76">
        <f t="shared" si="17"/>
        <v>0</v>
      </c>
      <c r="AK32" s="116">
        <f t="shared" si="18"/>
        <v>0</v>
      </c>
      <c r="AL32" s="115">
        <f t="shared" si="19"/>
        <v>0</v>
      </c>
      <c r="AM32" s="115">
        <f t="shared" si="20"/>
        <v>0</v>
      </c>
    </row>
    <row r="33" spans="1:39" ht="18" customHeight="1" x14ac:dyDescent="0.2">
      <c r="A33" s="29">
        <f t="shared" si="21"/>
        <v>1</v>
      </c>
      <c r="B33" s="78">
        <f t="shared" si="29"/>
        <v>46229</v>
      </c>
      <c r="C33" s="79">
        <f t="shared" si="22"/>
        <v>46229</v>
      </c>
      <c r="D33" s="250"/>
      <c r="E33" s="245"/>
      <c r="F33" s="245"/>
      <c r="G33" s="245"/>
      <c r="H33" s="245"/>
      <c r="I33" s="255">
        <f t="shared" si="23"/>
        <v>0</v>
      </c>
      <c r="J33" s="255">
        <f t="shared" si="24"/>
        <v>0</v>
      </c>
      <c r="K33" s="255">
        <f t="shared" si="25"/>
        <v>0</v>
      </c>
      <c r="L33" s="255">
        <f t="shared" si="26"/>
        <v>0</v>
      </c>
      <c r="M33" s="72">
        <f t="shared" si="27"/>
        <v>0</v>
      </c>
      <c r="N33" s="73">
        <f t="shared" si="0"/>
        <v>0</v>
      </c>
      <c r="O33" s="80">
        <f t="shared" si="1"/>
        <v>0</v>
      </c>
      <c r="P33" s="81">
        <f t="shared" si="2"/>
        <v>0</v>
      </c>
      <c r="Q33" s="81" t="str">
        <f t="shared" si="28"/>
        <v/>
      </c>
      <c r="R33" s="74">
        <f t="shared" si="3"/>
        <v>0</v>
      </c>
      <c r="S33" s="80">
        <f t="shared" si="4"/>
        <v>0</v>
      </c>
      <c r="T33" s="80">
        <f t="shared" si="5"/>
        <v>0</v>
      </c>
      <c r="U33" s="82"/>
      <c r="V33" s="82"/>
      <c r="W33" s="82"/>
      <c r="Y33" s="115">
        <f t="shared" si="6"/>
        <v>0</v>
      </c>
      <c r="Z33" s="116">
        <f t="shared" si="7"/>
        <v>0</v>
      </c>
      <c r="AA33" s="72">
        <f t="shared" si="8"/>
        <v>0</v>
      </c>
      <c r="AB33" s="77">
        <f t="shared" si="9"/>
        <v>0</v>
      </c>
      <c r="AC33" s="116">
        <f t="shared" si="10"/>
        <v>0</v>
      </c>
      <c r="AD33" s="116">
        <f t="shared" si="11"/>
        <v>0</v>
      </c>
      <c r="AE33" s="116">
        <f t="shared" si="12"/>
        <v>0</v>
      </c>
      <c r="AF33" s="117">
        <f t="shared" si="13"/>
        <v>0</v>
      </c>
      <c r="AG33" s="116">
        <f t="shared" si="14"/>
        <v>0</v>
      </c>
      <c r="AH33" s="77">
        <f t="shared" si="15"/>
        <v>0</v>
      </c>
      <c r="AI33" s="115">
        <f t="shared" si="16"/>
        <v>0</v>
      </c>
      <c r="AJ33" s="76">
        <f t="shared" si="17"/>
        <v>0</v>
      </c>
      <c r="AK33" s="116">
        <f t="shared" si="18"/>
        <v>0</v>
      </c>
      <c r="AL33" s="115">
        <f t="shared" si="19"/>
        <v>0</v>
      </c>
      <c r="AM33" s="115">
        <f t="shared" si="20"/>
        <v>0</v>
      </c>
    </row>
    <row r="34" spans="1:39" ht="18" customHeight="1" x14ac:dyDescent="0.2">
      <c r="A34" s="29">
        <f t="shared" si="21"/>
        <v>2</v>
      </c>
      <c r="B34" s="78">
        <f t="shared" si="29"/>
        <v>46230</v>
      </c>
      <c r="C34" s="79">
        <f t="shared" si="22"/>
        <v>46230</v>
      </c>
      <c r="D34" s="250"/>
      <c r="E34" s="245"/>
      <c r="F34" s="245"/>
      <c r="G34" s="245"/>
      <c r="H34" s="245"/>
      <c r="I34" s="255">
        <f t="shared" si="23"/>
        <v>0</v>
      </c>
      <c r="J34" s="255">
        <f t="shared" si="24"/>
        <v>0</v>
      </c>
      <c r="K34" s="255">
        <f t="shared" si="25"/>
        <v>0</v>
      </c>
      <c r="L34" s="255">
        <f t="shared" si="26"/>
        <v>0</v>
      </c>
      <c r="M34" s="72">
        <f t="shared" si="27"/>
        <v>0</v>
      </c>
      <c r="N34" s="73">
        <f t="shared" si="0"/>
        <v>0</v>
      </c>
      <c r="O34" s="80">
        <f t="shared" si="1"/>
        <v>0</v>
      </c>
      <c r="P34" s="81">
        <f t="shared" si="2"/>
        <v>0.33333333333333331</v>
      </c>
      <c r="Q34" s="81" t="str">
        <f t="shared" si="28"/>
        <v/>
      </c>
      <c r="R34" s="74">
        <f t="shared" si="3"/>
        <v>0</v>
      </c>
      <c r="S34" s="80">
        <f t="shared" si="4"/>
        <v>0</v>
      </c>
      <c r="T34" s="80">
        <f t="shared" si="5"/>
        <v>0</v>
      </c>
      <c r="U34" s="82"/>
      <c r="V34" s="82"/>
      <c r="W34" s="82"/>
      <c r="Y34" s="115">
        <f t="shared" si="6"/>
        <v>0</v>
      </c>
      <c r="Z34" s="116">
        <f t="shared" si="7"/>
        <v>0</v>
      </c>
      <c r="AA34" s="72">
        <f t="shared" si="8"/>
        <v>0</v>
      </c>
      <c r="AB34" s="77">
        <f t="shared" si="9"/>
        <v>0</v>
      </c>
      <c r="AC34" s="116">
        <f t="shared" si="10"/>
        <v>0</v>
      </c>
      <c r="AD34" s="116">
        <f t="shared" si="11"/>
        <v>0</v>
      </c>
      <c r="AE34" s="116">
        <f t="shared" si="12"/>
        <v>0</v>
      </c>
      <c r="AF34" s="117">
        <f t="shared" si="13"/>
        <v>0</v>
      </c>
      <c r="AG34" s="116">
        <f t="shared" si="14"/>
        <v>0</v>
      </c>
      <c r="AH34" s="77">
        <f t="shared" si="15"/>
        <v>0</v>
      </c>
      <c r="AI34" s="115">
        <f t="shared" si="16"/>
        <v>0</v>
      </c>
      <c r="AJ34" s="76">
        <f t="shared" si="17"/>
        <v>0</v>
      </c>
      <c r="AK34" s="116">
        <f t="shared" si="18"/>
        <v>0</v>
      </c>
      <c r="AL34" s="115">
        <f t="shared" si="19"/>
        <v>0</v>
      </c>
      <c r="AM34" s="115">
        <f t="shared" si="20"/>
        <v>0</v>
      </c>
    </row>
    <row r="35" spans="1:39" ht="18" customHeight="1" x14ac:dyDescent="0.2">
      <c r="A35" s="29">
        <f t="shared" si="21"/>
        <v>3</v>
      </c>
      <c r="B35" s="78">
        <f t="shared" si="29"/>
        <v>46231</v>
      </c>
      <c r="C35" s="79">
        <f t="shared" si="22"/>
        <v>46231</v>
      </c>
      <c r="D35" s="250"/>
      <c r="E35" s="245"/>
      <c r="F35" s="245"/>
      <c r="G35" s="245"/>
      <c r="H35" s="245"/>
      <c r="I35" s="255">
        <f t="shared" si="23"/>
        <v>0</v>
      </c>
      <c r="J35" s="255">
        <f t="shared" si="24"/>
        <v>0</v>
      </c>
      <c r="K35" s="255">
        <f t="shared" si="25"/>
        <v>0</v>
      </c>
      <c r="L35" s="255">
        <f t="shared" si="26"/>
        <v>0</v>
      </c>
      <c r="M35" s="72">
        <f t="shared" si="27"/>
        <v>0</v>
      </c>
      <c r="N35" s="73">
        <f t="shared" si="0"/>
        <v>0</v>
      </c>
      <c r="O35" s="80">
        <f t="shared" si="1"/>
        <v>0</v>
      </c>
      <c r="P35" s="81">
        <f t="shared" si="2"/>
        <v>0.33333333333333331</v>
      </c>
      <c r="Q35" s="81" t="str">
        <f t="shared" si="28"/>
        <v/>
      </c>
      <c r="R35" s="74">
        <f t="shared" si="3"/>
        <v>0</v>
      </c>
      <c r="S35" s="80">
        <f t="shared" si="4"/>
        <v>0</v>
      </c>
      <c r="T35" s="80">
        <f t="shared" si="5"/>
        <v>0</v>
      </c>
      <c r="U35" s="82"/>
      <c r="V35" s="82"/>
      <c r="W35" s="82"/>
      <c r="Y35" s="115">
        <f t="shared" si="6"/>
        <v>0</v>
      </c>
      <c r="Z35" s="116">
        <f t="shared" si="7"/>
        <v>0</v>
      </c>
      <c r="AA35" s="72">
        <f t="shared" si="8"/>
        <v>0</v>
      </c>
      <c r="AB35" s="77">
        <f t="shared" si="9"/>
        <v>0</v>
      </c>
      <c r="AC35" s="116">
        <f t="shared" si="10"/>
        <v>0</v>
      </c>
      <c r="AD35" s="116">
        <f t="shared" si="11"/>
        <v>0</v>
      </c>
      <c r="AE35" s="116">
        <f t="shared" si="12"/>
        <v>0</v>
      </c>
      <c r="AF35" s="117">
        <f t="shared" si="13"/>
        <v>0</v>
      </c>
      <c r="AG35" s="116">
        <f t="shared" si="14"/>
        <v>0</v>
      </c>
      <c r="AH35" s="77">
        <f t="shared" si="15"/>
        <v>0</v>
      </c>
      <c r="AI35" s="115">
        <f t="shared" si="16"/>
        <v>0</v>
      </c>
      <c r="AJ35" s="76">
        <f t="shared" si="17"/>
        <v>0</v>
      </c>
      <c r="AK35" s="116">
        <f t="shared" si="18"/>
        <v>0</v>
      </c>
      <c r="AL35" s="115">
        <f t="shared" si="19"/>
        <v>0</v>
      </c>
      <c r="AM35" s="115">
        <f t="shared" si="20"/>
        <v>0</v>
      </c>
    </row>
    <row r="36" spans="1:39" ht="18" customHeight="1" x14ac:dyDescent="0.2">
      <c r="A36" s="29">
        <f t="shared" si="21"/>
        <v>4</v>
      </c>
      <c r="B36" s="78">
        <f>IF(B35="","",IF(B35&gt;=fim,"",B35+1))</f>
        <v>46232</v>
      </c>
      <c r="C36" s="79">
        <f t="shared" si="22"/>
        <v>46232</v>
      </c>
      <c r="D36" s="250"/>
      <c r="E36" s="245"/>
      <c r="F36" s="245"/>
      <c r="G36" s="245"/>
      <c r="H36" s="245"/>
      <c r="I36" s="255">
        <f t="shared" si="23"/>
        <v>0</v>
      </c>
      <c r="J36" s="255">
        <f t="shared" si="24"/>
        <v>0</v>
      </c>
      <c r="K36" s="255">
        <f t="shared" si="25"/>
        <v>0</v>
      </c>
      <c r="L36" s="255">
        <f t="shared" si="26"/>
        <v>0</v>
      </c>
      <c r="M36" s="72">
        <f t="shared" si="27"/>
        <v>0</v>
      </c>
      <c r="N36" s="73">
        <f t="shared" si="0"/>
        <v>0</v>
      </c>
      <c r="O36" s="80">
        <f t="shared" si="1"/>
        <v>0</v>
      </c>
      <c r="P36" s="81">
        <f t="shared" si="2"/>
        <v>0.33333333333333331</v>
      </c>
      <c r="Q36" s="81" t="str">
        <f t="shared" si="28"/>
        <v/>
      </c>
      <c r="R36" s="74">
        <f t="shared" si="3"/>
        <v>0</v>
      </c>
      <c r="S36" s="80">
        <f t="shared" si="4"/>
        <v>0</v>
      </c>
      <c r="T36" s="80">
        <f t="shared" si="5"/>
        <v>0</v>
      </c>
      <c r="U36" s="82"/>
      <c r="V36" s="82"/>
      <c r="W36" s="82"/>
      <c r="Y36" s="115">
        <f t="shared" si="6"/>
        <v>0</v>
      </c>
      <c r="Z36" s="116">
        <f t="shared" si="7"/>
        <v>0</v>
      </c>
      <c r="AA36" s="72">
        <f t="shared" si="8"/>
        <v>0</v>
      </c>
      <c r="AB36" s="77">
        <f t="shared" si="9"/>
        <v>0</v>
      </c>
      <c r="AC36" s="116">
        <f t="shared" si="10"/>
        <v>0</v>
      </c>
      <c r="AD36" s="116">
        <f t="shared" si="11"/>
        <v>0</v>
      </c>
      <c r="AE36" s="116">
        <f t="shared" si="12"/>
        <v>0</v>
      </c>
      <c r="AF36" s="117">
        <f t="shared" si="13"/>
        <v>0</v>
      </c>
      <c r="AG36" s="116">
        <f t="shared" si="14"/>
        <v>0</v>
      </c>
      <c r="AH36" s="77">
        <f t="shared" si="15"/>
        <v>0</v>
      </c>
      <c r="AI36" s="115">
        <f t="shared" si="16"/>
        <v>0</v>
      </c>
      <c r="AJ36" s="76">
        <f t="shared" si="17"/>
        <v>0</v>
      </c>
      <c r="AK36" s="116">
        <f t="shared" si="18"/>
        <v>0</v>
      </c>
      <c r="AL36" s="115">
        <f t="shared" si="19"/>
        <v>0</v>
      </c>
      <c r="AM36" s="115">
        <f t="shared" si="20"/>
        <v>0</v>
      </c>
    </row>
    <row r="37" spans="1:39" ht="18" customHeight="1" x14ac:dyDescent="0.2">
      <c r="A37" s="29">
        <f t="shared" si="21"/>
        <v>5</v>
      </c>
      <c r="B37" s="78">
        <f>IF(B36="","",IF(B36&gt;=fim,"",B36+1))</f>
        <v>46233</v>
      </c>
      <c r="C37" s="79">
        <f t="shared" si="22"/>
        <v>46233</v>
      </c>
      <c r="D37" s="250"/>
      <c r="E37" s="245"/>
      <c r="F37" s="245"/>
      <c r="G37" s="245"/>
      <c r="H37" s="245"/>
      <c r="I37" s="255">
        <f t="shared" si="23"/>
        <v>0</v>
      </c>
      <c r="J37" s="255">
        <f t="shared" si="24"/>
        <v>0</v>
      </c>
      <c r="K37" s="255">
        <f t="shared" si="25"/>
        <v>0</v>
      </c>
      <c r="L37" s="255">
        <f t="shared" si="26"/>
        <v>0</v>
      </c>
      <c r="M37" s="72">
        <f t="shared" si="27"/>
        <v>0</v>
      </c>
      <c r="N37" s="73">
        <f t="shared" si="0"/>
        <v>0</v>
      </c>
      <c r="O37" s="80">
        <f t="shared" si="1"/>
        <v>0</v>
      </c>
      <c r="P37" s="81">
        <f t="shared" si="2"/>
        <v>0.33333333333333331</v>
      </c>
      <c r="Q37" s="81" t="str">
        <f t="shared" si="28"/>
        <v/>
      </c>
      <c r="R37" s="74">
        <f t="shared" si="3"/>
        <v>0</v>
      </c>
      <c r="S37" s="80">
        <f t="shared" si="4"/>
        <v>0</v>
      </c>
      <c r="T37" s="80">
        <f t="shared" si="5"/>
        <v>0</v>
      </c>
      <c r="U37" s="82"/>
      <c r="V37" s="82"/>
      <c r="W37" s="82"/>
      <c r="Y37" s="115">
        <f t="shared" si="6"/>
        <v>0</v>
      </c>
      <c r="Z37" s="116">
        <f t="shared" si="7"/>
        <v>0</v>
      </c>
      <c r="AA37" s="72">
        <f t="shared" si="8"/>
        <v>0</v>
      </c>
      <c r="AB37" s="77">
        <f t="shared" si="9"/>
        <v>0</v>
      </c>
      <c r="AC37" s="116">
        <f t="shared" si="10"/>
        <v>0</v>
      </c>
      <c r="AD37" s="116">
        <f t="shared" si="11"/>
        <v>0</v>
      </c>
      <c r="AE37" s="116">
        <f t="shared" si="12"/>
        <v>0</v>
      </c>
      <c r="AF37" s="117">
        <f t="shared" si="13"/>
        <v>0</v>
      </c>
      <c r="AG37" s="116">
        <f t="shared" si="14"/>
        <v>0</v>
      </c>
      <c r="AH37" s="77">
        <f t="shared" si="15"/>
        <v>0</v>
      </c>
      <c r="AI37" s="115">
        <f t="shared" si="16"/>
        <v>0</v>
      </c>
      <c r="AJ37" s="76">
        <f t="shared" si="17"/>
        <v>0</v>
      </c>
      <c r="AK37" s="116">
        <f t="shared" si="18"/>
        <v>0</v>
      </c>
      <c r="AL37" s="115">
        <f t="shared" si="19"/>
        <v>0</v>
      </c>
      <c r="AM37" s="115">
        <f t="shared" si="20"/>
        <v>0</v>
      </c>
    </row>
    <row r="38" spans="1:39" ht="18" customHeight="1" x14ac:dyDescent="0.2">
      <c r="A38" s="29">
        <f t="shared" si="21"/>
        <v>6</v>
      </c>
      <c r="B38" s="84">
        <f>IF(B37="","",IF(B37&gt;=fim,"",B37+1))</f>
        <v>46234</v>
      </c>
      <c r="C38" s="85">
        <f t="shared" si="22"/>
        <v>46234</v>
      </c>
      <c r="D38" s="251"/>
      <c r="E38" s="246"/>
      <c r="F38" s="246"/>
      <c r="G38" s="246"/>
      <c r="H38" s="246"/>
      <c r="I38" s="256">
        <f t="shared" si="23"/>
        <v>0</v>
      </c>
      <c r="J38" s="256">
        <f t="shared" si="24"/>
        <v>0</v>
      </c>
      <c r="K38" s="256">
        <f t="shared" si="25"/>
        <v>0</v>
      </c>
      <c r="L38" s="256">
        <f t="shared" si="26"/>
        <v>0</v>
      </c>
      <c r="M38" s="72">
        <f t="shared" si="27"/>
        <v>0</v>
      </c>
      <c r="N38" s="86">
        <f t="shared" si="0"/>
        <v>0</v>
      </c>
      <c r="O38" s="87">
        <f t="shared" si="1"/>
        <v>0</v>
      </c>
      <c r="P38" s="81">
        <f t="shared" si="2"/>
        <v>0.33333333333333331</v>
      </c>
      <c r="Q38" s="88" t="str">
        <f t="shared" si="28"/>
        <v/>
      </c>
      <c r="R38" s="74">
        <f t="shared" si="3"/>
        <v>0</v>
      </c>
      <c r="S38" s="87">
        <f t="shared" si="4"/>
        <v>0</v>
      </c>
      <c r="T38" s="87">
        <f t="shared" si="5"/>
        <v>0</v>
      </c>
      <c r="U38" s="82"/>
      <c r="V38" s="82"/>
      <c r="W38" s="82"/>
      <c r="Y38" s="118">
        <f t="shared" si="6"/>
        <v>0</v>
      </c>
      <c r="Z38" s="119">
        <f t="shared" si="7"/>
        <v>0</v>
      </c>
      <c r="AA38" s="72">
        <f t="shared" si="8"/>
        <v>0</v>
      </c>
      <c r="AB38" s="77">
        <f t="shared" si="9"/>
        <v>0</v>
      </c>
      <c r="AC38" s="119">
        <f t="shared" si="10"/>
        <v>0</v>
      </c>
      <c r="AD38" s="119">
        <f t="shared" si="11"/>
        <v>0</v>
      </c>
      <c r="AE38" s="119">
        <f t="shared" si="12"/>
        <v>0</v>
      </c>
      <c r="AF38" s="120">
        <f t="shared" si="13"/>
        <v>0</v>
      </c>
      <c r="AG38" s="119">
        <f t="shared" si="14"/>
        <v>0</v>
      </c>
      <c r="AH38" s="77">
        <f t="shared" si="15"/>
        <v>0</v>
      </c>
      <c r="AI38" s="118">
        <f t="shared" si="16"/>
        <v>0</v>
      </c>
      <c r="AJ38" s="76">
        <f t="shared" si="17"/>
        <v>0</v>
      </c>
      <c r="AK38" s="119">
        <f t="shared" si="18"/>
        <v>0</v>
      </c>
      <c r="AL38" s="118">
        <f t="shared" si="19"/>
        <v>0</v>
      </c>
      <c r="AM38" s="118">
        <f t="shared" si="20"/>
        <v>0</v>
      </c>
    </row>
    <row r="39" spans="1:39" ht="3.95" customHeight="1" x14ac:dyDescent="0.2">
      <c r="A39" s="29"/>
      <c r="B39" s="133"/>
      <c r="C39" s="135"/>
      <c r="D39" s="136"/>
      <c r="E39" s="136"/>
      <c r="F39" s="136"/>
      <c r="G39" s="136"/>
      <c r="H39" s="136"/>
      <c r="I39" s="137"/>
      <c r="J39" s="137"/>
      <c r="K39" s="137"/>
      <c r="L39" s="138"/>
      <c r="M39" s="139"/>
      <c r="N39" s="139"/>
      <c r="O39" s="140"/>
      <c r="P39" s="140"/>
      <c r="Q39" s="141"/>
      <c r="R39" s="140"/>
      <c r="S39" s="140"/>
      <c r="T39" s="140"/>
      <c r="U39" s="82"/>
      <c r="V39" s="82"/>
      <c r="W39" s="82"/>
      <c r="Y39" s="97"/>
      <c r="Z39" s="98"/>
      <c r="AA39" s="134"/>
      <c r="AB39" s="98"/>
      <c r="AC39" s="98"/>
      <c r="AD39" s="98"/>
      <c r="AE39" s="98"/>
      <c r="AF39" s="106"/>
      <c r="AG39" s="98"/>
      <c r="AH39" s="98"/>
      <c r="AI39" s="97"/>
      <c r="AJ39" s="97"/>
      <c r="AK39" s="98"/>
      <c r="AL39" s="97"/>
      <c r="AM39" s="97"/>
    </row>
    <row r="40" spans="1:39" ht="18" customHeight="1" x14ac:dyDescent="0.2">
      <c r="B40" s="89" t="s">
        <v>18</v>
      </c>
      <c r="C40" s="89" t="s">
        <v>19</v>
      </c>
      <c r="D40" s="89"/>
      <c r="E40" s="89"/>
      <c r="F40" s="89"/>
      <c r="G40" s="89"/>
      <c r="H40" s="89"/>
      <c r="I40" s="89" t="s">
        <v>21</v>
      </c>
      <c r="J40" s="89" t="s">
        <v>22</v>
      </c>
      <c r="K40" s="89" t="s">
        <v>23</v>
      </c>
      <c r="L40" s="111" t="s">
        <v>24</v>
      </c>
      <c r="M40" s="215">
        <f>SUM(M8:M38)</f>
        <v>1.7993055555555555</v>
      </c>
      <c r="N40" s="215">
        <f>SUM(N8:N38)</f>
        <v>4.6262287528351198</v>
      </c>
      <c r="O40" s="215">
        <f>SUM(O8:O38)</f>
        <v>6.4255343083906764</v>
      </c>
      <c r="P40" s="216"/>
      <c r="Q40" s="215">
        <f>SUM(Q8:Q38)</f>
        <v>0.49999666666666664</v>
      </c>
      <c r="R40" s="215">
        <f>SUM(R8:R38)</f>
        <v>1.1440748299333343</v>
      </c>
      <c r="S40" s="215">
        <f>SUM(S8:S38)</f>
        <v>0.79761687074761933</v>
      </c>
      <c r="T40" s="215">
        <f>SUM(T8:T38)</f>
        <v>0.29892999999999997</v>
      </c>
      <c r="U40" s="90"/>
      <c r="V40" s="90"/>
      <c r="W40" s="90"/>
    </row>
    <row r="41" spans="1:39" ht="18" customHeight="1" x14ac:dyDescent="0.2">
      <c r="A41" s="110">
        <f>C41-B41+1</f>
        <v>31</v>
      </c>
      <c r="B41" s="227">
        <f>IF(dia_fp="",B8,DATE(ano_cp,mes_cp,1))</f>
        <v>46204</v>
      </c>
      <c r="C41" s="227">
        <f>IF(dia_fp="",MAX(B8:B38),DATE(ano_cp,mes_cp+1,0))</f>
        <v>46234</v>
      </c>
      <c r="D41" s="110">
        <f>COUNTIF(C8:C38,"feriado")</f>
        <v>0</v>
      </c>
      <c r="E41" s="110"/>
      <c r="F41" s="110"/>
      <c r="G41" s="110"/>
      <c r="H41" s="110"/>
      <c r="I41" s="110" cm="1">
        <f t="array" aca="1" ref="I41" ca="1">SUMPRODUCT((WEEKDAY(ROW(INDIRECT($B41&amp;":"&amp;$C41)))=1)*(COUNTIF(fer,ROW(INDIRECT($B41&amp;":"&amp;$C41)))=0))</f>
        <v>4</v>
      </c>
      <c r="J41" s="110">
        <f ca="1">A41-K41</f>
        <v>27</v>
      </c>
      <c r="K41" s="110">
        <f ca="1">D41+I41</f>
        <v>4</v>
      </c>
      <c r="L41" s="111" t="s">
        <v>25</v>
      </c>
      <c r="M41" s="217">
        <f>M40*24</f>
        <v>43.18333333333333</v>
      </c>
      <c r="N41" s="217">
        <f>N40*24</f>
        <v>111.02949006804288</v>
      </c>
      <c r="O41" s="217">
        <f>O40*24</f>
        <v>154.21282340137623</v>
      </c>
      <c r="P41" s="216"/>
      <c r="Q41" s="217">
        <f>Q40*24</f>
        <v>11.999919999999999</v>
      </c>
      <c r="R41" s="217">
        <f>R40*24</f>
        <v>27.457795918400024</v>
      </c>
      <c r="S41" s="217">
        <f>S40*24</f>
        <v>19.142804897942863</v>
      </c>
      <c r="T41" s="217">
        <f>T40*24</f>
        <v>7.1743199999999998</v>
      </c>
      <c r="U41" s="91"/>
      <c r="V41" s="91"/>
      <c r="W41" s="91"/>
    </row>
    <row r="42" spans="1:39" ht="18" customHeight="1" x14ac:dyDescent="0.2">
      <c r="A42" s="110">
        <f>IF(B42="","",DAY(C42))</f>
        <v>31</v>
      </c>
      <c r="B42" s="227">
        <f>B8</f>
        <v>46204</v>
      </c>
      <c r="C42" s="228">
        <f>MAX(B8:B38)</f>
        <v>46234</v>
      </c>
      <c r="D42" s="110" cm="1">
        <f t="array" ref="D42">IF(B42="","",SUMPRODUCT(((WEEKDAY(fer)&gt;1))*(fer&gt;=B42)*(fer&lt;=C42)))</f>
        <v>0</v>
      </c>
      <c r="E42" s="110"/>
      <c r="F42" s="110"/>
      <c r="G42" s="110"/>
      <c r="H42" s="110"/>
      <c r="I42" s="110" cm="1">
        <f t="array" aca="1" ref="I42" ca="1">IF(B42="","",SUMPRODUCT((WEEKDAY(ROW(INDIRECT($B42&amp;":"&amp;$C42)))=1)*1))</f>
        <v>4</v>
      </c>
      <c r="J42" s="110" cm="1">
        <f t="array" aca="1" ref="J42" ca="1">IF(B42="","",SUMPRODUCT((WEEKDAY(ROW(INDIRECT(B42&amp;":"&amp;C42)))&gt;1)*(COUNTIF(fer,ROW(INDIRECT(B42&amp;":"&amp;C42)))=0)))</f>
        <v>27</v>
      </c>
      <c r="K42" s="110">
        <f ca="1">IF(B42="","",D42+I42)</f>
        <v>4</v>
      </c>
      <c r="L42" s="111" t="s">
        <v>71</v>
      </c>
      <c r="M42" s="218"/>
      <c r="N42" s="217">
        <f ca="1">N41/dias_úteis*repousos</f>
        <v>16.448813343413761</v>
      </c>
      <c r="O42" s="219"/>
      <c r="P42" s="220"/>
      <c r="Q42" s="220"/>
      <c r="R42" s="217">
        <f ca="1">R41/dias_úteis*repousos</f>
        <v>4.0678216175407442</v>
      </c>
      <c r="S42" s="217">
        <f ca="1">S41/dias_úteis*repousos</f>
        <v>2.8359710959915354</v>
      </c>
      <c r="T42" s="229">
        <v>0</v>
      </c>
      <c r="U42" s="91"/>
      <c r="V42" s="91"/>
      <c r="W42" s="91"/>
    </row>
    <row r="43" spans="1:39" ht="18" customHeight="1" x14ac:dyDescent="0.2">
      <c r="N43" s="112"/>
      <c r="O43" s="299"/>
      <c r="P43" s="300"/>
      <c r="Q43" s="132"/>
      <c r="R43" s="91"/>
      <c r="S43" s="91"/>
    </row>
    <row r="44" spans="1:39" ht="20.100000000000001" customHeight="1" x14ac:dyDescent="0.2"/>
    <row r="45" spans="1:39" ht="20.100000000000001" customHeight="1" x14ac:dyDescent="0.2">
      <c r="A45" s="281" t="s">
        <v>72</v>
      </c>
      <c r="B45" s="282"/>
      <c r="C45" s="282"/>
      <c r="D45" s="283"/>
      <c r="E45" s="242"/>
      <c r="F45" s="242"/>
      <c r="G45" s="242"/>
      <c r="H45" s="242"/>
      <c r="I45" s="287" t="s">
        <v>75</v>
      </c>
      <c r="J45" s="288"/>
      <c r="K45" s="289"/>
      <c r="L45" s="290" t="s">
        <v>76</v>
      </c>
      <c r="M45" s="292" t="s">
        <v>77</v>
      </c>
      <c r="N45" s="292" t="s">
        <v>57</v>
      </c>
      <c r="O45" s="292" t="s">
        <v>78</v>
      </c>
      <c r="P45" s="292" t="s">
        <v>79</v>
      </c>
      <c r="Q45" s="292" t="s">
        <v>63</v>
      </c>
      <c r="R45" s="303" t="s">
        <v>58</v>
      </c>
      <c r="S45" s="305" t="s">
        <v>126</v>
      </c>
      <c r="T45" s="306"/>
    </row>
    <row r="46" spans="1:39" ht="20.100000000000001" customHeight="1" x14ac:dyDescent="0.2">
      <c r="A46" s="284"/>
      <c r="B46" s="285"/>
      <c r="C46" s="285"/>
      <c r="D46" s="286"/>
      <c r="E46" s="243"/>
      <c r="F46" s="243"/>
      <c r="G46" s="243"/>
      <c r="H46" s="243"/>
      <c r="I46" s="122" t="s">
        <v>73</v>
      </c>
      <c r="J46" s="122" t="s">
        <v>74</v>
      </c>
      <c r="K46" s="122" t="s">
        <v>24</v>
      </c>
      <c r="L46" s="291"/>
      <c r="M46" s="293"/>
      <c r="N46" s="293"/>
      <c r="O46" s="293"/>
      <c r="P46" s="293"/>
      <c r="Q46" s="293"/>
      <c r="R46" s="304"/>
      <c r="S46" s="257" t="s">
        <v>127</v>
      </c>
      <c r="T46" s="258">
        <v>10</v>
      </c>
    </row>
    <row r="47" spans="1:39" ht="20.100000000000001" customHeight="1" x14ac:dyDescent="0.2">
      <c r="A47" s="277"/>
      <c r="B47" s="278"/>
      <c r="C47" s="278"/>
      <c r="D47" s="279"/>
      <c r="E47" s="240"/>
      <c r="F47" s="240"/>
      <c r="G47" s="240"/>
      <c r="H47" s="240"/>
      <c r="I47" s="252">
        <v>2000</v>
      </c>
      <c r="J47" s="252">
        <v>0</v>
      </c>
      <c r="K47" s="224">
        <f>I47+J47</f>
        <v>2000</v>
      </c>
      <c r="L47" s="253">
        <v>220</v>
      </c>
      <c r="M47" s="225">
        <f>IF(K47="","",K47/L47)</f>
        <v>9.0909090909090917</v>
      </c>
      <c r="N47" s="226">
        <f>$N$40</f>
        <v>4.6262287528351198</v>
      </c>
      <c r="O47" s="226">
        <f>$R$40</f>
        <v>1.1440748299333343</v>
      </c>
      <c r="P47" s="226">
        <f>$S$40</f>
        <v>0.79761687074761933</v>
      </c>
      <c r="Q47" s="226">
        <f>$T$40</f>
        <v>0.29892999999999997</v>
      </c>
      <c r="R47" s="226">
        <f>Q40</f>
        <v>0.49999666666666664</v>
      </c>
      <c r="S47" s="55"/>
      <c r="T47" s="55"/>
    </row>
    <row r="48" spans="1:39" ht="8.1" customHeight="1" x14ac:dyDescent="0.2">
      <c r="A48" s="126"/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130"/>
      <c r="O48" s="64"/>
      <c r="P48" s="64"/>
      <c r="Q48" s="64"/>
      <c r="R48" s="65"/>
    </row>
    <row r="49" spans="1:19" ht="24.95" hidden="1" customHeight="1" x14ac:dyDescent="0.2">
      <c r="A49" s="230"/>
      <c r="B49" s="231"/>
      <c r="C49" s="280"/>
      <c r="D49" s="280"/>
      <c r="E49" s="241"/>
      <c r="F49" s="241"/>
      <c r="G49" s="241"/>
      <c r="H49" s="241"/>
      <c r="I49" s="232"/>
      <c r="J49" s="233"/>
      <c r="K49" s="234"/>
      <c r="N49" s="274"/>
      <c r="O49" s="274"/>
      <c r="P49" s="274"/>
      <c r="Q49" s="275"/>
      <c r="R49" s="274"/>
    </row>
    <row r="50" spans="1:19" ht="20.100000000000001" hidden="1" customHeight="1" x14ac:dyDescent="0.2">
      <c r="A50" s="276"/>
      <c r="B50" s="276"/>
      <c r="C50" s="276"/>
      <c r="D50" s="276"/>
      <c r="E50" s="239"/>
      <c r="F50" s="239"/>
      <c r="G50" s="239"/>
      <c r="H50" s="239"/>
      <c r="I50" s="235"/>
      <c r="J50" s="222"/>
      <c r="N50" s="274"/>
      <c r="O50" s="274"/>
      <c r="P50" s="274"/>
      <c r="Q50" s="275"/>
      <c r="R50" s="274"/>
    </row>
    <row r="51" spans="1:19" ht="20.100000000000001" hidden="1" customHeight="1" x14ac:dyDescent="0.2">
      <c r="A51" s="276"/>
      <c r="B51" s="276"/>
      <c r="C51" s="276"/>
      <c r="D51" s="276"/>
      <c r="E51" s="239"/>
      <c r="F51" s="239"/>
      <c r="G51" s="239"/>
      <c r="H51" s="239"/>
      <c r="I51" s="235"/>
      <c r="J51" s="222"/>
      <c r="K51" s="221"/>
      <c r="N51" s="222"/>
      <c r="O51" s="222"/>
      <c r="P51" s="222"/>
      <c r="Q51" s="222"/>
      <c r="R51" s="123"/>
    </row>
    <row r="52" spans="1:19" ht="20.100000000000001" hidden="1" customHeight="1" x14ac:dyDescent="0.2">
      <c r="A52" s="276"/>
      <c r="B52" s="276"/>
      <c r="C52" s="276"/>
      <c r="D52" s="276"/>
      <c r="E52" s="239"/>
      <c r="F52" s="239"/>
      <c r="G52" s="239"/>
      <c r="H52" s="239"/>
      <c r="I52" s="235"/>
      <c r="J52" s="222"/>
      <c r="K52" s="221"/>
      <c r="L52" s="55"/>
      <c r="M52" s="55"/>
      <c r="N52" s="123"/>
      <c r="O52" s="124"/>
    </row>
    <row r="53" spans="1:19" ht="20.100000000000001" hidden="1" customHeight="1" x14ac:dyDescent="0.2">
      <c r="A53" s="276"/>
      <c r="B53" s="276"/>
      <c r="C53" s="276"/>
      <c r="D53" s="276"/>
      <c r="E53" s="239"/>
      <c r="F53" s="239"/>
      <c r="G53" s="239"/>
      <c r="H53" s="239"/>
      <c r="I53" s="235"/>
      <c r="J53" s="222"/>
      <c r="K53" s="221"/>
      <c r="N53" s="275"/>
      <c r="O53" s="275"/>
      <c r="P53" s="275"/>
      <c r="Q53" s="275"/>
      <c r="S53" s="121"/>
    </row>
    <row r="54" spans="1:19" ht="20.100000000000001" hidden="1" customHeight="1" x14ac:dyDescent="0.2">
      <c r="A54" s="276"/>
      <c r="B54" s="276"/>
      <c r="C54" s="276"/>
      <c r="D54" s="276"/>
      <c r="E54" s="239"/>
      <c r="F54" s="239"/>
      <c r="G54" s="239"/>
      <c r="H54" s="239"/>
      <c r="I54" s="235"/>
      <c r="J54" s="222"/>
      <c r="K54" s="236"/>
      <c r="M54" s="68"/>
      <c r="N54" s="275"/>
      <c r="O54" s="275"/>
      <c r="P54" s="275"/>
      <c r="Q54" s="275"/>
      <c r="S54" s="121"/>
    </row>
    <row r="55" spans="1:19" ht="20.100000000000001" hidden="1" customHeight="1" x14ac:dyDescent="0.2">
      <c r="B55" s="276"/>
      <c r="C55" s="276"/>
      <c r="D55" s="276"/>
      <c r="E55" s="239"/>
      <c r="F55" s="239"/>
      <c r="G55" s="239"/>
      <c r="H55" s="239"/>
      <c r="I55" s="212"/>
      <c r="K55" s="123"/>
      <c r="L55" s="221"/>
      <c r="M55" s="221"/>
      <c r="N55" s="221"/>
      <c r="O55" s="221"/>
      <c r="P55" s="221"/>
      <c r="Q55" s="223"/>
    </row>
    <row r="56" spans="1:19" ht="20.100000000000001" hidden="1" customHeight="1" x14ac:dyDescent="0.2">
      <c r="B56" s="276"/>
      <c r="C56" s="276"/>
      <c r="D56" s="276"/>
      <c r="E56" s="239"/>
      <c r="F56" s="239"/>
      <c r="G56" s="239"/>
      <c r="H56" s="239"/>
      <c r="I56" s="213"/>
      <c r="J56" s="214"/>
      <c r="K56" s="55"/>
      <c r="L56" s="55"/>
      <c r="M56" s="55"/>
    </row>
    <row r="57" spans="1:19" ht="20.100000000000001" hidden="1" customHeight="1" x14ac:dyDescent="0.2">
      <c r="B57" s="276"/>
      <c r="C57" s="276"/>
      <c r="D57" s="276"/>
      <c r="E57" s="239"/>
      <c r="F57" s="239"/>
      <c r="G57" s="239"/>
      <c r="H57" s="239"/>
      <c r="I57" s="212"/>
      <c r="J57" s="214"/>
      <c r="K57" s="55"/>
      <c r="L57" s="55"/>
      <c r="M57" s="55"/>
    </row>
    <row r="58" spans="1:19" ht="20.100000000000001" hidden="1" customHeight="1" x14ac:dyDescent="0.2">
      <c r="B58" s="276"/>
      <c r="C58" s="276"/>
      <c r="D58" s="276"/>
      <c r="E58" s="239"/>
      <c r="F58" s="239"/>
      <c r="G58" s="239"/>
      <c r="H58" s="239"/>
      <c r="I58" s="212"/>
      <c r="J58" s="214"/>
      <c r="K58" s="55"/>
      <c r="L58" s="55"/>
      <c r="M58" s="55"/>
    </row>
    <row r="59" spans="1:19" ht="20.100000000000001" hidden="1" customHeight="1" x14ac:dyDescent="0.2">
      <c r="B59" s="276"/>
      <c r="C59" s="276"/>
      <c r="D59" s="276"/>
      <c r="E59" s="239"/>
      <c r="F59" s="239"/>
      <c r="G59" s="239"/>
      <c r="H59" s="239"/>
      <c r="I59" s="212"/>
      <c r="J59" s="214"/>
      <c r="K59" s="55"/>
      <c r="L59" s="55"/>
      <c r="M59" s="55"/>
    </row>
    <row r="60" spans="1:19" ht="20.100000000000001" hidden="1" customHeight="1" x14ac:dyDescent="0.2">
      <c r="B60" s="276"/>
      <c r="C60" s="276"/>
      <c r="D60" s="276"/>
      <c r="E60" s="239"/>
      <c r="F60" s="239"/>
      <c r="G60" s="239"/>
      <c r="H60" s="239"/>
      <c r="I60" s="212"/>
      <c r="J60" s="214"/>
      <c r="K60" s="55"/>
      <c r="L60" s="55"/>
      <c r="M60" s="55"/>
    </row>
    <row r="61" spans="1:19" ht="8.1" hidden="1" customHeight="1" x14ac:dyDescent="0.2"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</row>
    <row r="62" spans="1:19" hidden="1" x14ac:dyDescent="0.2"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</row>
    <row r="63" spans="1:19" hidden="1" x14ac:dyDescent="0.2"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</row>
    <row r="64" spans="1:19" hidden="1" x14ac:dyDescent="0.2"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</row>
    <row r="65" spans="2:13" hidden="1" x14ac:dyDescent="0.2"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</row>
    <row r="66" spans="2:13" hidden="1" x14ac:dyDescent="0.2"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</row>
    <row r="67" spans="2:13" hidden="1" x14ac:dyDescent="0.2"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</row>
    <row r="68" spans="2:13" hidden="1" x14ac:dyDescent="0.2"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</row>
    <row r="69" spans="2:13" hidden="1" x14ac:dyDescent="0.2"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</row>
    <row r="70" spans="2:13" hidden="1" x14ac:dyDescent="0.2"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</row>
    <row r="71" spans="2:13" hidden="1" x14ac:dyDescent="0.2"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</row>
    <row r="72" spans="2:13" hidden="1" x14ac:dyDescent="0.2"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</row>
    <row r="73" spans="2:13" hidden="1" x14ac:dyDescent="0.2"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</row>
    <row r="74" spans="2:13" hidden="1" x14ac:dyDescent="0.2"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</row>
    <row r="75" spans="2:13" hidden="1" x14ac:dyDescent="0.2"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</row>
    <row r="76" spans="2:13" hidden="1" x14ac:dyDescent="0.2"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</row>
    <row r="77" spans="2:13" hidden="1" x14ac:dyDescent="0.2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</row>
    <row r="78" spans="2:13" hidden="1" x14ac:dyDescent="0.2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</row>
    <row r="79" spans="2:13" hidden="1" x14ac:dyDescent="0.2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</row>
    <row r="80" spans="2:13" hidden="1" x14ac:dyDescent="0.2"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</row>
    <row r="81" spans="2:13" hidden="1" x14ac:dyDescent="0.2"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</row>
    <row r="112" spans="22:23" hidden="1" x14ac:dyDescent="0.2">
      <c r="V112" s="92">
        <f>IF(dia_fp="",DATE(ano_cp,mes_cp,1),DATE(ano_cp,mes_cp-1,dia_fp+1))</f>
        <v>46204</v>
      </c>
      <c r="W112" s="60" t="s">
        <v>26</v>
      </c>
    </row>
    <row r="113" spans="4:23" hidden="1" x14ac:dyDescent="0.2">
      <c r="V113" s="92">
        <f>IF(dia_fp="",DATE(ano_cp,mes_cp+1,0),(DATE(ano_cp,mes_cp,dia_fp)))</f>
        <v>46234</v>
      </c>
      <c r="W113" s="60" t="s">
        <v>27</v>
      </c>
    </row>
    <row r="115" spans="4:23" hidden="1" x14ac:dyDescent="0.2">
      <c r="D115" s="60" t="s">
        <v>28</v>
      </c>
      <c r="E115" s="60"/>
      <c r="F115" s="60"/>
      <c r="G115" s="60"/>
      <c r="H115" s="60"/>
      <c r="J115" s="60" t="s">
        <v>29</v>
      </c>
    </row>
    <row r="116" spans="4:23" hidden="1" x14ac:dyDescent="0.2">
      <c r="D116" s="93">
        <v>1</v>
      </c>
      <c r="E116" s="93"/>
      <c r="F116" s="93"/>
      <c r="G116" s="93"/>
      <c r="H116" s="93"/>
      <c r="J116" s="94">
        <v>2012</v>
      </c>
      <c r="K116">
        <v>120</v>
      </c>
      <c r="L116">
        <v>6</v>
      </c>
    </row>
    <row r="117" spans="4:23" hidden="1" x14ac:dyDescent="0.2">
      <c r="D117" s="95">
        <v>2</v>
      </c>
      <c r="E117" s="95"/>
      <c r="F117" s="95"/>
      <c r="G117" s="95"/>
      <c r="H117" s="95"/>
      <c r="J117" s="94">
        <v>2013</v>
      </c>
      <c r="K117">
        <v>150</v>
      </c>
    </row>
    <row r="118" spans="4:23" hidden="1" x14ac:dyDescent="0.2">
      <c r="D118" s="95">
        <v>3</v>
      </c>
      <c r="E118" s="95"/>
      <c r="F118" s="95"/>
      <c r="G118" s="95"/>
      <c r="H118" s="95"/>
      <c r="J118" s="94">
        <v>2014</v>
      </c>
      <c r="K118">
        <v>180</v>
      </c>
    </row>
    <row r="119" spans="4:23" hidden="1" x14ac:dyDescent="0.2">
      <c r="D119" s="96">
        <v>4</v>
      </c>
      <c r="E119" s="96"/>
      <c r="F119" s="96"/>
      <c r="G119" s="96"/>
      <c r="H119" s="96"/>
      <c r="J119" s="94">
        <v>2015</v>
      </c>
      <c r="K119">
        <v>200</v>
      </c>
    </row>
    <row r="120" spans="4:23" hidden="1" x14ac:dyDescent="0.2">
      <c r="D120" s="96">
        <v>5</v>
      </c>
      <c r="E120" s="96"/>
      <c r="F120" s="96"/>
      <c r="G120" s="96"/>
      <c r="H120" s="96"/>
      <c r="J120" s="94">
        <v>2016</v>
      </c>
      <c r="K120">
        <v>210</v>
      </c>
    </row>
    <row r="121" spans="4:23" hidden="1" x14ac:dyDescent="0.2">
      <c r="D121" s="96">
        <v>6</v>
      </c>
      <c r="E121" s="96"/>
      <c r="F121" s="96"/>
      <c r="G121" s="96"/>
      <c r="H121" s="96"/>
      <c r="J121" s="94">
        <v>2017</v>
      </c>
      <c r="K121">
        <v>220</v>
      </c>
    </row>
    <row r="122" spans="4:23" hidden="1" x14ac:dyDescent="0.2">
      <c r="D122" s="96">
        <v>7</v>
      </c>
      <c r="E122" s="96"/>
      <c r="F122" s="96"/>
      <c r="G122" s="96"/>
      <c r="H122" s="96"/>
      <c r="J122" s="94">
        <v>2018</v>
      </c>
    </row>
    <row r="123" spans="4:23" hidden="1" x14ac:dyDescent="0.2">
      <c r="D123" s="96">
        <v>8</v>
      </c>
      <c r="E123" s="96"/>
      <c r="F123" s="96"/>
      <c r="G123" s="96"/>
      <c r="H123" s="96"/>
      <c r="J123" s="94">
        <v>2019</v>
      </c>
    </row>
    <row r="124" spans="4:23" hidden="1" x14ac:dyDescent="0.2">
      <c r="D124" s="96">
        <v>9</v>
      </c>
      <c r="E124" s="96"/>
      <c r="F124" s="96"/>
      <c r="G124" s="96"/>
      <c r="H124" s="96"/>
      <c r="J124" s="94">
        <v>2020</v>
      </c>
    </row>
    <row r="125" spans="4:23" hidden="1" x14ac:dyDescent="0.2">
      <c r="D125" s="96">
        <v>10</v>
      </c>
      <c r="E125" s="96"/>
      <c r="F125" s="96"/>
      <c r="G125" s="96"/>
      <c r="H125" s="96"/>
      <c r="J125" s="94">
        <v>2021</v>
      </c>
    </row>
    <row r="126" spans="4:23" hidden="1" x14ac:dyDescent="0.2">
      <c r="D126" s="96">
        <v>11</v>
      </c>
      <c r="E126" s="96"/>
      <c r="F126" s="96"/>
      <c r="G126" s="96"/>
      <c r="H126" s="96"/>
      <c r="J126" s="94">
        <v>2022</v>
      </c>
    </row>
    <row r="127" spans="4:23" hidden="1" x14ac:dyDescent="0.2">
      <c r="D127" s="96">
        <v>12</v>
      </c>
      <c r="E127" s="96"/>
      <c r="F127" s="96"/>
      <c r="G127" s="96"/>
      <c r="H127" s="96"/>
      <c r="J127" s="94">
        <v>2023</v>
      </c>
    </row>
    <row r="146" spans="2:8" hidden="1" x14ac:dyDescent="0.2">
      <c r="B146" s="60"/>
      <c r="C146" s="57"/>
      <c r="D146" s="57"/>
      <c r="E146" s="57"/>
      <c r="F146" s="57"/>
      <c r="G146" s="57"/>
      <c r="H146" s="57"/>
    </row>
    <row r="147" spans="2:8" hidden="1" x14ac:dyDescent="0.2">
      <c r="B147" s="60"/>
      <c r="C147" s="57"/>
      <c r="D147" s="57"/>
      <c r="E147" s="57"/>
      <c r="F147" s="57"/>
      <c r="G147" s="57"/>
      <c r="H147" s="57"/>
    </row>
  </sheetData>
  <sheetProtection sheet="1" objects="1" scenarios="1"/>
  <mergeCells count="42">
    <mergeCell ref="L2:L3"/>
    <mergeCell ref="R2:R4"/>
    <mergeCell ref="B5:C5"/>
    <mergeCell ref="D6:L6"/>
    <mergeCell ref="F3:G3"/>
    <mergeCell ref="D3:E3"/>
    <mergeCell ref="AA6:AE6"/>
    <mergeCell ref="AG6:AL6"/>
    <mergeCell ref="O43:P43"/>
    <mergeCell ref="Y6:Z6"/>
    <mergeCell ref="Q45:Q46"/>
    <mergeCell ref="P45:P46"/>
    <mergeCell ref="R45:R46"/>
    <mergeCell ref="S45:T45"/>
    <mergeCell ref="A47:D47"/>
    <mergeCell ref="C49:D49"/>
    <mergeCell ref="P49:P50"/>
    <mergeCell ref="A45:D46"/>
    <mergeCell ref="I45:K45"/>
    <mergeCell ref="L45:L46"/>
    <mergeCell ref="M45:M46"/>
    <mergeCell ref="N45:N46"/>
    <mergeCell ref="O45:O46"/>
    <mergeCell ref="B60:D60"/>
    <mergeCell ref="B55:D55"/>
    <mergeCell ref="B56:D56"/>
    <mergeCell ref="B57:D57"/>
    <mergeCell ref="B58:D58"/>
    <mergeCell ref="B59:D59"/>
    <mergeCell ref="R49:R50"/>
    <mergeCell ref="N49:N50"/>
    <mergeCell ref="O49:O50"/>
    <mergeCell ref="P53:P54"/>
    <mergeCell ref="A50:D50"/>
    <mergeCell ref="A51:D51"/>
    <mergeCell ref="A52:D52"/>
    <mergeCell ref="A53:D53"/>
    <mergeCell ref="A54:D54"/>
    <mergeCell ref="Q49:Q50"/>
    <mergeCell ref="N53:N54"/>
    <mergeCell ref="O53:O54"/>
    <mergeCell ref="Q53:Q54"/>
  </mergeCells>
  <conditionalFormatting sqref="B8:C39">
    <cfRule type="expression" dxfId="9" priority="3">
      <formula>WEEKDAY($B8,2)=7</formula>
    </cfRule>
    <cfRule type="expression" dxfId="8" priority="4">
      <formula>COUNTIF(fer,$B8)&gt;0</formula>
    </cfRule>
  </conditionalFormatting>
  <conditionalFormatting sqref="D8:D38 Y8:AM38 D39:H39">
    <cfRule type="cellIs" dxfId="7" priority="2" operator="equal">
      <formula>"F"</formula>
    </cfRule>
  </conditionalFormatting>
  <conditionalFormatting sqref="E8:T38">
    <cfRule type="expression" dxfId="6" priority="1">
      <formula>$D8="F"</formula>
    </cfRule>
  </conditionalFormatting>
  <conditionalFormatting sqref="O43:Q43">
    <cfRule type="expression" dxfId="5" priority="13">
      <formula>#REF!&lt;&gt;""</formula>
    </cfRule>
  </conditionalFormatting>
  <conditionalFormatting sqref="R42:S43 N43">
    <cfRule type="expression" dxfId="4" priority="12">
      <formula>#REF!&lt;&gt;""</formula>
    </cfRule>
  </conditionalFormatting>
  <conditionalFormatting sqref="Y8:AM38 B35:T38">
    <cfRule type="expression" dxfId="3" priority="16">
      <formula>$B8=$C$41</formula>
    </cfRule>
    <cfRule type="expression" dxfId="2" priority="17">
      <formula>$B8=""</formula>
    </cfRule>
  </conditionalFormatting>
  <conditionalFormatting sqref="Y8:AM38">
    <cfRule type="expression" dxfId="1" priority="9">
      <formula>$D8="F"</formula>
    </cfRule>
  </conditionalFormatting>
  <dataValidations count="3">
    <dataValidation type="list" allowBlank="1" showInputMessage="1" showErrorMessage="1" sqref="L47" xr:uid="{BFFF9196-36FE-46C4-8DFD-BD7B87035A3F}">
      <formula1>$K$116:$K$121</formula1>
    </dataValidation>
    <dataValidation type="custom" allowBlank="1" showInputMessage="1" showErrorMessage="1" errorTitle="Hora inválida" error="Digite a hora sem dois-pontos: 800 = 08:00, 1330 = 13:30, 2400 = 24:00. Minutos devem ser menores que 60." sqref="E8:H38" xr:uid="{FA6BF64A-32E3-473D-81D8-7178FD33D7C7}">
      <formula1>OR(AND(E8&gt;=0,E8&lt;1),AND(E8&gt;=0,E8&lt;=2400,E8=INT(E8),MOD(E8,100)&lt;60))</formula1>
    </dataValidation>
    <dataValidation type="list" allowBlank="1" showInputMessage="1" showErrorMessage="1" errorTitle="Marca inválida" error="Use A (ausência) ou F (folga) pela lista suspensa, ou deixe em branco." promptTitle="Marcação do dia" prompt="A = Ausência injustificada | F = Folga | vazio = dia normal" sqref="D8:D38" xr:uid="{69D48F87-02C9-4DCE-A2EA-99DC1ED13714}">
      <formula1>"A,F"</formula1>
    </dataValidation>
  </dataValidations>
  <pageMargins left="0.75" right="0.75" top="1" bottom="1" header="0.49212598499999999" footer="0.49212598499999999"/>
  <pageSetup paperSize="9" scale="83" orientation="landscape" r:id="rId1"/>
  <headerFooter alignWithMargins="0"/>
  <colBreaks count="1" manualBreakCount="1">
    <brk id="23" max="1048575" man="1"/>
  </col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2">
    <tabColor theme="4" tint="-0.249977111117893"/>
  </sheetPr>
  <dimension ref="A1:AA39"/>
  <sheetViews>
    <sheetView showGridLines="0" workbookViewId="0">
      <selection activeCell="D13" sqref="D13"/>
    </sheetView>
  </sheetViews>
  <sheetFormatPr defaultRowHeight="12.75" x14ac:dyDescent="0.2"/>
  <cols>
    <col min="1" max="1" width="4.7109375" customWidth="1"/>
    <col min="2" max="2" width="6.7109375" customWidth="1"/>
    <col min="3" max="3" width="26.85546875" customWidth="1"/>
    <col min="4" max="4" width="14.42578125" customWidth="1"/>
    <col min="5" max="6" width="10.7109375" bestFit="1" customWidth="1"/>
    <col min="7" max="7" width="12.42578125" customWidth="1"/>
    <col min="13" max="14" width="4.7109375" customWidth="1"/>
    <col min="17" max="17" width="6.7109375" customWidth="1"/>
    <col min="18" max="18" width="4.7109375" customWidth="1"/>
    <col min="23" max="24" width="0" hidden="1" customWidth="1"/>
    <col min="25" max="25" width="10.140625" hidden="1" customWidth="1"/>
    <col min="26" max="26" width="0" hidden="1" customWidth="1"/>
  </cols>
  <sheetData>
    <row r="1" spans="1:27" ht="20.100000000000001" customHeight="1" x14ac:dyDescent="0.2">
      <c r="A1" s="324" t="s">
        <v>30</v>
      </c>
      <c r="B1" s="324"/>
      <c r="C1" s="31" t="s">
        <v>31</v>
      </c>
      <c r="D1" s="324" t="s">
        <v>32</v>
      </c>
      <c r="E1" s="324"/>
    </row>
    <row r="2" spans="1:27" ht="20.100000000000001" customHeight="1" x14ac:dyDescent="0.25">
      <c r="A2" s="27"/>
      <c r="B2" s="28">
        <f>ano_cp</f>
        <v>2026</v>
      </c>
      <c r="C2" s="40">
        <f>ROUND(DATE($B$2,4,MOD(234-11*MOD($B$2,19),30))/7,)*7-6</f>
        <v>46117</v>
      </c>
      <c r="D2" s="35" t="s">
        <v>33</v>
      </c>
      <c r="E2" s="37">
        <f>Ininot</f>
        <v>0.91666666666666663</v>
      </c>
      <c r="M2" s="327"/>
      <c r="N2" s="328"/>
      <c r="O2" s="328"/>
      <c r="P2" s="328"/>
      <c r="Q2" s="328"/>
      <c r="R2" s="328"/>
    </row>
    <row r="3" spans="1:27" ht="20.100000000000001" customHeight="1" x14ac:dyDescent="0.2">
      <c r="A3" s="32"/>
      <c r="B3" s="33"/>
      <c r="C3" s="34"/>
      <c r="D3" s="36" t="s">
        <v>34</v>
      </c>
      <c r="E3" s="38">
        <f>Fimnot</f>
        <v>0.20833333333333334</v>
      </c>
      <c r="M3" s="328"/>
      <c r="N3" s="328"/>
      <c r="O3" s="328"/>
      <c r="P3" s="328"/>
      <c r="Q3" s="328"/>
      <c r="R3" s="328"/>
    </row>
    <row r="4" spans="1:27" ht="2.1" customHeight="1" x14ac:dyDescent="0.2">
      <c r="A4" s="127"/>
      <c r="D4" s="128"/>
      <c r="E4" s="129"/>
      <c r="M4" s="47"/>
      <c r="N4" s="47"/>
      <c r="O4" s="47"/>
      <c r="P4" s="47"/>
      <c r="Q4" s="47"/>
      <c r="R4" s="47"/>
    </row>
    <row r="5" spans="1:27" ht="15" x14ac:dyDescent="0.2">
      <c r="A5" s="325" t="s">
        <v>35</v>
      </c>
      <c r="B5" s="326"/>
      <c r="C5" s="326"/>
      <c r="D5" s="326"/>
      <c r="E5" s="326"/>
      <c r="F5" s="326"/>
      <c r="G5" s="47"/>
    </row>
    <row r="6" spans="1:27" ht="18" customHeight="1" x14ac:dyDescent="0.25">
      <c r="A6" s="315" t="s">
        <v>36</v>
      </c>
      <c r="B6" s="10" t="s">
        <v>37</v>
      </c>
      <c r="C6" s="7" t="s">
        <v>38</v>
      </c>
      <c r="D6" s="39">
        <f>IF($B$6="X",DATE($B$2-1,1,1),DATE(1905,1,1))</f>
        <v>45658</v>
      </c>
      <c r="E6" s="39">
        <f>IF($B$6="X",DATE($B$2,1,1),DATE(1905,1,1))</f>
        <v>46023</v>
      </c>
      <c r="F6" s="39">
        <f>IF($B$6="X",DATE($B$2+1,1,1),DATE(1905,1,1))</f>
        <v>46388</v>
      </c>
      <c r="G6" s="52">
        <f>ROUND(DATE($B$2-1,4,MOD(234-11*MOD($B$2-1,19),30))/7,)*7-6</f>
        <v>45767</v>
      </c>
      <c r="W6" s="29">
        <v>1</v>
      </c>
      <c r="X6" s="29">
        <v>1</v>
      </c>
      <c r="Y6" s="30">
        <f>DATE(1905,1,1)</f>
        <v>1828</v>
      </c>
    </row>
    <row r="7" spans="1:27" ht="18" customHeight="1" x14ac:dyDescent="0.25">
      <c r="A7" s="316"/>
      <c r="B7" s="11" t="s">
        <v>37</v>
      </c>
      <c r="C7" s="8" t="s">
        <v>39</v>
      </c>
      <c r="D7" s="9">
        <f>IF($B$7="X",DATE($B$2-1,4,21),DATE(1905,1,1))</f>
        <v>45768</v>
      </c>
      <c r="E7" s="49">
        <f>IF($B$7="X",DATE($B$2,4,21),DATE(1905,1,1))</f>
        <v>46133</v>
      </c>
      <c r="F7" s="49">
        <f>IF($B$7="X",DATE($B$2+1,4,21),DATE(1905,1,1))</f>
        <v>46498</v>
      </c>
      <c r="G7" s="52">
        <f>ROUND(DATE($B$2+1,4,MOD(234-11*MOD($B$2+1,19),30))/7,)*7-6</f>
        <v>46474</v>
      </c>
      <c r="W7" s="29">
        <v>2</v>
      </c>
      <c r="X7" s="29">
        <v>2</v>
      </c>
      <c r="Y7" s="29"/>
    </row>
    <row r="8" spans="1:27" ht="18" customHeight="1" x14ac:dyDescent="0.25">
      <c r="A8" s="316"/>
      <c r="B8" s="11" t="s">
        <v>37</v>
      </c>
      <c r="C8" s="8" t="s">
        <v>40</v>
      </c>
      <c r="D8" s="9">
        <f>IF($B$8="X",DATE($B$2-1,5,1),DATE(1905,1,1))</f>
        <v>45778</v>
      </c>
      <c r="E8" s="49">
        <f>IF($B$8="X",DATE($B$2,5,1),DATE(1905,1,1))</f>
        <v>46143</v>
      </c>
      <c r="F8" s="49">
        <f>IF($B$8="X",DATE($B$2+1,5,1),DATE(1905,1,1))</f>
        <v>46508</v>
      </c>
      <c r="G8" s="1"/>
      <c r="T8" s="107"/>
      <c r="U8" s="107"/>
      <c r="V8" s="107"/>
      <c r="W8" s="29"/>
      <c r="X8" s="29"/>
      <c r="Y8" s="29"/>
      <c r="AA8" s="107"/>
    </row>
    <row r="9" spans="1:27" ht="18" customHeight="1" x14ac:dyDescent="0.25">
      <c r="A9" s="316"/>
      <c r="B9" s="11" t="s">
        <v>37</v>
      </c>
      <c r="C9" s="8" t="s">
        <v>41</v>
      </c>
      <c r="D9" s="9">
        <f>IF($B$9="X",DATE($B$2-1,9,7),DATE(1905,1,1))</f>
        <v>45907</v>
      </c>
      <c r="E9" s="49">
        <f>IF($B$9="X",DATE($B$2,9,7),DATE(1905,1,1))</f>
        <v>46272</v>
      </c>
      <c r="F9" s="49">
        <f>IF($B$9="X",DATE($B$2+1,9,7),DATE(1905,1,1))</f>
        <v>46637</v>
      </c>
      <c r="G9" s="1"/>
      <c r="U9" s="107"/>
      <c r="W9" s="29"/>
      <c r="X9" s="29"/>
      <c r="Y9" s="29"/>
      <c r="AA9" s="107"/>
    </row>
    <row r="10" spans="1:27" ht="18" customHeight="1" x14ac:dyDescent="0.25">
      <c r="A10" s="316"/>
      <c r="B10" s="11" t="s">
        <v>37</v>
      </c>
      <c r="C10" s="8" t="s">
        <v>42</v>
      </c>
      <c r="D10" s="9">
        <f>IF($B$10="X",DATE($B$2-1,10,12),DATE(1905,1,1))</f>
        <v>45942</v>
      </c>
      <c r="E10" s="49">
        <f>IF($B$10="X",DATE($B$2,10,12),DATE(1905,1,1))</f>
        <v>46307</v>
      </c>
      <c r="F10" s="49">
        <f>IF($B$10="X",DATE($B$2+1,10,12),DATE(1905,1,1))</f>
        <v>46672</v>
      </c>
      <c r="G10" s="1"/>
      <c r="V10" s="107"/>
      <c r="W10" s="29"/>
      <c r="X10" s="29"/>
      <c r="Y10" s="29"/>
    </row>
    <row r="11" spans="1:27" ht="18" customHeight="1" x14ac:dyDescent="0.25">
      <c r="A11" s="316"/>
      <c r="B11" s="11" t="s">
        <v>37</v>
      </c>
      <c r="C11" s="8" t="s">
        <v>43</v>
      </c>
      <c r="D11" s="9">
        <f>IF($B$11="X",DATE($B$2-1,11,2),DATE(1905,1,1))</f>
        <v>45963</v>
      </c>
      <c r="E11" s="49">
        <f>IF($B$11="X",DATE($B$2,11,2),DATE(1905,1,1))</f>
        <v>46328</v>
      </c>
      <c r="F11" s="49">
        <f>IF($B$11="X",DATE($B$2+1,11,2),DATE(1905,1,1))</f>
        <v>46693</v>
      </c>
      <c r="G11" s="1"/>
      <c r="W11" s="29">
        <v>6</v>
      </c>
      <c r="X11" s="29">
        <v>6</v>
      </c>
      <c r="Y11" s="29"/>
    </row>
    <row r="12" spans="1:27" ht="18" customHeight="1" x14ac:dyDescent="0.25">
      <c r="A12" s="316"/>
      <c r="B12" s="11" t="s">
        <v>37</v>
      </c>
      <c r="C12" s="8" t="s">
        <v>44</v>
      </c>
      <c r="D12" s="9">
        <f>IF($B$12="X",DATE($B$2-1,11,15),DATE(1905,1,1))</f>
        <v>45976</v>
      </c>
      <c r="E12" s="49">
        <f>IF($B$12="X",DATE($B$2,11,15),DATE(1905,1,1))</f>
        <v>46341</v>
      </c>
      <c r="F12" s="49">
        <f>IF($B$12="X",DATE($B$2+1,11,15),DATE(1905,1,1))</f>
        <v>46706</v>
      </c>
      <c r="G12" s="1"/>
      <c r="W12" s="29">
        <v>7</v>
      </c>
      <c r="X12" s="29">
        <v>7</v>
      </c>
      <c r="Y12" s="29"/>
    </row>
    <row r="13" spans="1:27" ht="18" customHeight="1" x14ac:dyDescent="0.25">
      <c r="A13" s="317"/>
      <c r="B13" s="237" t="s">
        <v>37</v>
      </c>
      <c r="C13" s="238" t="s">
        <v>120</v>
      </c>
      <c r="D13" s="9">
        <f>IF($B$13="X",DATE($B$2-1,11,20),DATE(1905,1,1))</f>
        <v>45981</v>
      </c>
      <c r="E13" s="49">
        <f>IF($B$13="X",DATE($B$2,11,20),DATE(1905,1,1))</f>
        <v>46346</v>
      </c>
      <c r="F13" s="49">
        <f>IF($B$13="X",DATE($B$2+1,11,20),DATE(1905,1,1))</f>
        <v>46711</v>
      </c>
      <c r="G13" s="1"/>
      <c r="W13" s="29"/>
      <c r="X13" s="29"/>
      <c r="Y13" s="29"/>
    </row>
    <row r="14" spans="1:27" ht="18" customHeight="1" x14ac:dyDescent="0.25">
      <c r="A14" s="318"/>
      <c r="B14" s="14" t="s">
        <v>37</v>
      </c>
      <c r="C14" s="15" t="s">
        <v>45</v>
      </c>
      <c r="D14" s="16">
        <f>IF($B$14="X",DATE($B$2-1,12,25),DATE(1905,1,1))</f>
        <v>46016</v>
      </c>
      <c r="E14" s="50">
        <f>IF($B$14="X",DATE($B$2,12,25),DATE(1905,1,1))</f>
        <v>46381</v>
      </c>
      <c r="F14" s="50">
        <f>IF($B$14="X",DATE($B$2+1,12,25),DATE(1905,1,1))</f>
        <v>46746</v>
      </c>
      <c r="G14" s="1"/>
      <c r="W14" s="29">
        <v>8</v>
      </c>
      <c r="X14" s="29">
        <v>8</v>
      </c>
      <c r="Y14" s="29"/>
    </row>
    <row r="15" spans="1:27" ht="18" customHeight="1" x14ac:dyDescent="0.25">
      <c r="A15" s="319" t="s">
        <v>46</v>
      </c>
      <c r="B15" s="17" t="s">
        <v>37</v>
      </c>
      <c r="C15" s="5" t="s">
        <v>47</v>
      </c>
      <c r="D15" s="41">
        <f>IF($B$15="X",$G$6-2,DATE(1905,1,1))</f>
        <v>45765</v>
      </c>
      <c r="E15" s="41">
        <f>IF($B$15="X",páscoa-2,DATE(1905,1,1))</f>
        <v>46115</v>
      </c>
      <c r="F15" s="41">
        <f>IF($B$15="X",$G$7-2,DATE(1905,1,1))</f>
        <v>46472</v>
      </c>
      <c r="G15" s="1"/>
      <c r="W15" s="29">
        <v>9</v>
      </c>
      <c r="X15" s="29">
        <v>9</v>
      </c>
      <c r="Y15" s="29"/>
    </row>
    <row r="16" spans="1:27" ht="18" customHeight="1" x14ac:dyDescent="0.25">
      <c r="A16" s="320"/>
      <c r="B16" s="13" t="s">
        <v>37</v>
      </c>
      <c r="C16" s="6" t="s">
        <v>48</v>
      </c>
      <c r="D16" s="42">
        <f>IF($B$16="X",$G$6+60,DATE(1905,1,1))</f>
        <v>45827</v>
      </c>
      <c r="E16" s="42">
        <f>IF($B$16="X",páscoa+60,DATE(1905,1,1))</f>
        <v>46177</v>
      </c>
      <c r="F16" s="42">
        <f>IF($B$16="X",$G$7+60,DATE(1905,1,1))</f>
        <v>46534</v>
      </c>
      <c r="G16" s="1"/>
      <c r="W16" s="29">
        <v>10</v>
      </c>
      <c r="X16" s="29">
        <v>10</v>
      </c>
      <c r="Y16" s="29"/>
    </row>
    <row r="17" spans="1:25" ht="18" customHeight="1" x14ac:dyDescent="0.25">
      <c r="A17" s="321"/>
      <c r="B17" s="18"/>
      <c r="C17" s="19" t="s">
        <v>49</v>
      </c>
      <c r="D17" s="43">
        <f>IF($B$17="X",$G$6-47,DATE(1905,1,1))</f>
        <v>1828</v>
      </c>
      <c r="E17" s="43">
        <f>IF($B$17="X",páscoa-47,DATE(1905,1,1))</f>
        <v>1828</v>
      </c>
      <c r="F17" s="43">
        <f>IF($B$17="X",$G$7-47,DATE(1905,1,1))</f>
        <v>1828</v>
      </c>
      <c r="G17" s="48" t="s">
        <v>50</v>
      </c>
      <c r="H17" s="26" t="s">
        <v>51</v>
      </c>
      <c r="M17" s="329"/>
      <c r="N17" s="329"/>
      <c r="O17" s="329"/>
      <c r="P17" s="329"/>
      <c r="Q17" s="329"/>
      <c r="R17" s="329"/>
      <c r="W17" s="29">
        <v>11</v>
      </c>
      <c r="X17" s="29">
        <v>11</v>
      </c>
      <c r="Y17" s="29"/>
    </row>
    <row r="18" spans="1:25" ht="18" customHeight="1" x14ac:dyDescent="0.25">
      <c r="A18" s="322" t="s">
        <v>52</v>
      </c>
      <c r="B18" s="20" t="s">
        <v>37</v>
      </c>
      <c r="C18" s="21" t="s">
        <v>53</v>
      </c>
      <c r="D18" s="44">
        <f>IF($B$18="X",DATE($B$2-1,$H$18,$G$18),DATE(1905,1,1))</f>
        <v>45818</v>
      </c>
      <c r="E18" s="44">
        <f>IF($B$18="X",DATE($B$2,$H$18,$G$18),DATE(1905,1,1))</f>
        <v>46183</v>
      </c>
      <c r="F18" s="44">
        <f>IF($B$18="X",DATE($B$2+1,$H$18,$G$18),DATE(1905,1,1))</f>
        <v>46548</v>
      </c>
      <c r="G18" s="22">
        <v>10</v>
      </c>
      <c r="H18" s="22">
        <v>6</v>
      </c>
      <c r="W18" s="29">
        <v>12</v>
      </c>
      <c r="X18" s="29">
        <v>12</v>
      </c>
      <c r="Y18" s="29"/>
    </row>
    <row r="19" spans="1:25" ht="18" customHeight="1" x14ac:dyDescent="0.25">
      <c r="A19" s="323"/>
      <c r="B19" s="12" t="s">
        <v>37</v>
      </c>
      <c r="C19" s="4" t="s">
        <v>54</v>
      </c>
      <c r="D19" s="45">
        <f>IF($B$19="X",DATE($B$2-1,H19,G19),DATE(1905,1,1))</f>
        <v>45832</v>
      </c>
      <c r="E19" s="44">
        <f>IF($B$19="X",DATE($B$2,H19,G19),DATE(1905,1,1))</f>
        <v>46197</v>
      </c>
      <c r="F19" s="44">
        <f>IF($B$19="X",DATE($B$2+1,H19,G19),DATE(1905,1,1))</f>
        <v>46562</v>
      </c>
      <c r="G19" s="23">
        <v>24</v>
      </c>
      <c r="H19" s="23">
        <v>6</v>
      </c>
      <c r="W19" s="29"/>
      <c r="X19" s="29">
        <v>13</v>
      </c>
      <c r="Y19" s="29"/>
    </row>
    <row r="20" spans="1:25" ht="18" customHeight="1" x14ac:dyDescent="0.25">
      <c r="A20" s="323"/>
      <c r="B20" s="53"/>
      <c r="C20" s="4" t="s">
        <v>55</v>
      </c>
      <c r="D20" s="45">
        <f>IF($B$20="X",DATE($B$2-1,H20,G20),DATE(1905,1,1))</f>
        <v>1828</v>
      </c>
      <c r="E20" s="44">
        <f>IF($B$20="X",DATE($B$2,H20,G20),DATE(1905,1,1))</f>
        <v>1828</v>
      </c>
      <c r="F20" s="44">
        <f>IF($B$20="X",DATE($B$2,H20,G20),DATE(1905,1,1))</f>
        <v>1828</v>
      </c>
      <c r="G20" s="23">
        <v>5</v>
      </c>
      <c r="H20" s="23">
        <v>8</v>
      </c>
      <c r="M20" s="329"/>
      <c r="N20" s="329"/>
      <c r="O20" s="329"/>
      <c r="P20" s="329"/>
      <c r="Q20" s="329"/>
      <c r="R20" s="329"/>
      <c r="W20" s="29"/>
      <c r="X20" s="29">
        <v>14</v>
      </c>
      <c r="Y20" s="29"/>
    </row>
    <row r="21" spans="1:25" ht="18" customHeight="1" x14ac:dyDescent="0.25">
      <c r="A21" s="323"/>
      <c r="B21" s="54"/>
      <c r="C21" s="24" t="s">
        <v>56</v>
      </c>
      <c r="D21" s="46">
        <f>IF($B$21="X",DATE($B$2-1,H21,G21),DATE(1905,1,1))</f>
        <v>1828</v>
      </c>
      <c r="E21" s="51">
        <f>IF($B$21="X",DATE($B$2,H21,G21),DATE(1905,1,1))</f>
        <v>1828</v>
      </c>
      <c r="F21" s="51">
        <f>IF($B$21="X",DATE($B$2+1,H21,G21),DATE(1905,1,1))</f>
        <v>1828</v>
      </c>
      <c r="G21" s="25">
        <v>10</v>
      </c>
      <c r="H21" s="25">
        <v>5</v>
      </c>
      <c r="N21" s="330"/>
      <c r="O21" s="330"/>
      <c r="P21" s="170"/>
      <c r="W21" s="29"/>
      <c r="X21" s="29">
        <v>15</v>
      </c>
      <c r="Y21" s="29"/>
    </row>
    <row r="22" spans="1:25" ht="18" customHeight="1" x14ac:dyDescent="0.2">
      <c r="A22" s="3"/>
      <c r="B22" s="3"/>
      <c r="W22" s="29"/>
      <c r="X22" s="29">
        <v>16</v>
      </c>
      <c r="Y22" s="29"/>
    </row>
    <row r="23" spans="1:25" ht="3.95" customHeight="1" x14ac:dyDescent="0.2">
      <c r="A23" s="2"/>
      <c r="B23" s="2"/>
      <c r="M23" s="94"/>
      <c r="N23" s="94"/>
      <c r="O23" s="94"/>
      <c r="P23" s="94"/>
      <c r="Q23" s="94"/>
      <c r="R23" s="94"/>
      <c r="W23" s="29"/>
      <c r="X23" s="29"/>
      <c r="Y23" s="29"/>
    </row>
    <row r="24" spans="1:25" ht="18" customHeight="1" x14ac:dyDescent="0.2">
      <c r="A24" s="2"/>
      <c r="B24" s="2"/>
      <c r="M24" s="329"/>
      <c r="N24" s="329"/>
      <c r="O24" s="329"/>
      <c r="P24" s="329"/>
      <c r="Q24" s="329"/>
      <c r="R24" s="329"/>
      <c r="W24" s="29"/>
      <c r="X24" s="29">
        <v>17</v>
      </c>
      <c r="Y24" s="29"/>
    </row>
    <row r="25" spans="1:25" x14ac:dyDescent="0.2">
      <c r="A25" s="2"/>
      <c r="B25" s="2"/>
      <c r="W25" s="29"/>
      <c r="X25" s="29">
        <v>18</v>
      </c>
      <c r="Y25" s="29"/>
    </row>
    <row r="26" spans="1:25" ht="18" customHeight="1" x14ac:dyDescent="0.2">
      <c r="A26" s="2"/>
      <c r="B26" s="2"/>
      <c r="W26" s="29"/>
      <c r="X26" s="29">
        <v>19</v>
      </c>
      <c r="Y26" s="29"/>
    </row>
    <row r="27" spans="1:25" ht="3.95" customHeight="1" x14ac:dyDescent="0.2">
      <c r="A27" s="2"/>
      <c r="B27" s="2"/>
      <c r="M27" s="2"/>
      <c r="R27" s="2"/>
      <c r="S27" s="131">
        <v>1</v>
      </c>
      <c r="W27" s="29"/>
      <c r="X27" s="29"/>
      <c r="Y27" s="29"/>
    </row>
    <row r="28" spans="1:25" ht="18" customHeight="1" x14ac:dyDescent="0.2">
      <c r="W28" s="29"/>
      <c r="X28" s="29">
        <v>20</v>
      </c>
      <c r="Y28" s="29"/>
    </row>
    <row r="29" spans="1:25" ht="18" customHeight="1" x14ac:dyDescent="0.2">
      <c r="W29" s="29"/>
      <c r="X29" s="29">
        <v>21</v>
      </c>
      <c r="Y29" s="29"/>
    </row>
    <row r="30" spans="1:25" ht="18" customHeight="1" x14ac:dyDescent="0.2">
      <c r="W30" s="29"/>
      <c r="X30" s="29">
        <v>22</v>
      </c>
      <c r="Y30" s="29"/>
    </row>
    <row r="31" spans="1:25" x14ac:dyDescent="0.2">
      <c r="W31" s="29"/>
      <c r="X31" s="29">
        <v>23</v>
      </c>
      <c r="Y31" s="29"/>
    </row>
    <row r="32" spans="1:25" ht="20.100000000000001" customHeight="1" x14ac:dyDescent="0.2">
      <c r="W32" s="29"/>
      <c r="X32" s="29">
        <v>24</v>
      </c>
      <c r="Y32" s="29"/>
    </row>
    <row r="33" spans="23:25" x14ac:dyDescent="0.2">
      <c r="W33" s="29"/>
      <c r="X33" s="29">
        <v>25</v>
      </c>
      <c r="Y33" s="29"/>
    </row>
    <row r="34" spans="23:25" x14ac:dyDescent="0.2">
      <c r="W34" s="29"/>
      <c r="X34" s="29">
        <v>26</v>
      </c>
      <c r="Y34" s="29"/>
    </row>
    <row r="35" spans="23:25" x14ac:dyDescent="0.2">
      <c r="W35" s="29"/>
      <c r="X35" s="29">
        <v>27</v>
      </c>
      <c r="Y35" s="29"/>
    </row>
    <row r="36" spans="23:25" x14ac:dyDescent="0.2">
      <c r="W36" s="29"/>
      <c r="X36" s="29">
        <v>28</v>
      </c>
      <c r="Y36" s="29"/>
    </row>
    <row r="37" spans="23:25" x14ac:dyDescent="0.2">
      <c r="W37" s="29"/>
      <c r="X37" s="29">
        <v>29</v>
      </c>
      <c r="Y37" s="29"/>
    </row>
    <row r="38" spans="23:25" x14ac:dyDescent="0.2">
      <c r="W38" s="29"/>
      <c r="X38" s="29">
        <v>30</v>
      </c>
      <c r="Y38" s="29"/>
    </row>
    <row r="39" spans="23:25" x14ac:dyDescent="0.2">
      <c r="W39" s="29"/>
      <c r="X39" s="29">
        <v>31</v>
      </c>
      <c r="Y39" s="29"/>
    </row>
  </sheetData>
  <mergeCells count="11">
    <mergeCell ref="M2:R3"/>
    <mergeCell ref="M24:R24"/>
    <mergeCell ref="M20:R20"/>
    <mergeCell ref="M17:R17"/>
    <mergeCell ref="N21:O21"/>
    <mergeCell ref="A6:A14"/>
    <mergeCell ref="A15:A17"/>
    <mergeCell ref="A18:A21"/>
    <mergeCell ref="A1:B1"/>
    <mergeCell ref="D1:E1"/>
    <mergeCell ref="A5:F5"/>
  </mergeCells>
  <phoneticPr fontId="4" type="noConversion"/>
  <conditionalFormatting sqref="D6:F21">
    <cfRule type="cellIs" dxfId="0" priority="1" operator="equal">
      <formula>$Y$6</formula>
    </cfRule>
  </conditionalFormatting>
  <dataValidations count="3">
    <dataValidation type="list" allowBlank="1" showInputMessage="1" showErrorMessage="1" sqref="G18:G21" xr:uid="{00000000-0002-0000-0100-000000000000}">
      <formula1>$X$6:$X$39</formula1>
    </dataValidation>
    <dataValidation type="list" allowBlank="1" showInputMessage="1" showErrorMessage="1" sqref="H18:H21" xr:uid="{00000000-0002-0000-0100-000001000000}">
      <formula1>$W$6:$W$18</formula1>
    </dataValidation>
    <dataValidation type="time" allowBlank="1" showInputMessage="1" showErrorMessage="1" sqref="P21" xr:uid="{E0A3D976-A22C-4415-B228-BD7765CA92A1}">
      <formula1>$E$3</formula1>
      <formula2>$S$27</formula2>
    </dataValidation>
  </dataValidations>
  <pageMargins left="0.75" right="0.75" top="1" bottom="1" header="0.49212598499999999" footer="0.49212598499999999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24</vt:i4>
      </vt:variant>
    </vt:vector>
  </HeadingPairs>
  <TitlesOfParts>
    <vt:vector size="27" baseType="lpstr">
      <vt:lpstr>Parâmetros</vt:lpstr>
      <vt:lpstr>controle de ponto</vt:lpstr>
      <vt:lpstr>Feriados</vt:lpstr>
      <vt:lpstr>_jornada</vt:lpstr>
      <vt:lpstr>ad_he</vt:lpstr>
      <vt:lpstr>ad_intra</vt:lpstr>
      <vt:lpstr>ad_not</vt:lpstr>
      <vt:lpstr>ano_cp</vt:lpstr>
      <vt:lpstr>dia_fp</vt:lpstr>
      <vt:lpstr>dias_úteis</vt:lpstr>
      <vt:lpstr>fer</vt:lpstr>
      <vt:lpstr>fim</vt:lpstr>
      <vt:lpstr>Fimnot</vt:lpstr>
      <vt:lpstr>início</vt:lpstr>
      <vt:lpstr>Ininot</vt:lpstr>
      <vt:lpstr>intra_t</vt:lpstr>
      <vt:lpstr>'controle de ponto'!jor_contratual</vt:lpstr>
      <vt:lpstr>jor_folga</vt:lpstr>
      <vt:lpstr>jorn_t</vt:lpstr>
      <vt:lpstr>lim_not</vt:lpstr>
      <vt:lpstr>mes_cp</vt:lpstr>
      <vt:lpstr>páscoa</vt:lpstr>
      <vt:lpstr>'controle de ponto'!quadro_horário</vt:lpstr>
      <vt:lpstr>repousos</vt:lpstr>
      <vt:lpstr>sum_60</vt:lpstr>
      <vt:lpstr>tol_HE</vt:lpstr>
      <vt:lpstr>trab_</vt:lpstr>
    </vt:vector>
  </TitlesOfParts>
  <Manager/>
  <Company>MTE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gilberto.braga</dc:creator>
  <cp:keywords/>
  <dc:description/>
  <cp:lastModifiedBy>Gilberto Braga</cp:lastModifiedBy>
  <cp:revision/>
  <dcterms:created xsi:type="dcterms:W3CDTF">2015-05-11T16:16:43Z</dcterms:created>
  <dcterms:modified xsi:type="dcterms:W3CDTF">2026-07-14T23:48:51Z</dcterms:modified>
  <cp:category/>
  <cp:contentStatus/>
</cp:coreProperties>
</file>